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S:\S_CENTRALES\METABOLOPATIAS\_doc_servizo\Cringenes\Web\"/>
    </mc:Choice>
  </mc:AlternateContent>
  <xr:revisionPtr revIDLastSave="0" documentId="8_{A13C1632-2B5C-41D7-B2E6-B28998753047}" xr6:coauthVersionLast="47" xr6:coauthVersionMax="47" xr10:uidLastSave="{00000000-0000-0000-0000-000000000000}"/>
  <bookViews>
    <workbookView xWindow="-28920" yWindow="-30" windowWidth="29040" windowHeight="15720" tabRatio="500" xr2:uid="{00000000-000D-0000-FFFF-FFFF00000000}"/>
  </bookViews>
  <sheets>
    <sheet name="Hoja1" sheetId="1" r:id="rId1"/>
    <sheet name="Hoja2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49" i="3" l="1"/>
  <c r="B749" i="3"/>
  <c r="C748" i="3"/>
  <c r="B748" i="3"/>
  <c r="C747" i="3"/>
  <c r="B747" i="3"/>
  <c r="C746" i="3"/>
  <c r="B746" i="3"/>
  <c r="C745" i="3"/>
  <c r="B745" i="3"/>
  <c r="C744" i="3"/>
  <c r="B744" i="3"/>
  <c r="D743" i="3"/>
  <c r="C743" i="3"/>
  <c r="B743" i="3"/>
  <c r="C742" i="3"/>
  <c r="B742" i="3"/>
  <c r="C741" i="3"/>
  <c r="B741" i="3"/>
  <c r="C740" i="3"/>
  <c r="B740" i="3"/>
  <c r="C739" i="3"/>
  <c r="B739" i="3"/>
  <c r="C738" i="3"/>
  <c r="B738" i="3"/>
  <c r="D737" i="3"/>
  <c r="C737" i="3"/>
  <c r="B737" i="3"/>
  <c r="C736" i="3"/>
  <c r="B736" i="3"/>
  <c r="C735" i="3"/>
  <c r="B735" i="3"/>
  <c r="C734" i="3"/>
  <c r="B734" i="3"/>
  <c r="C733" i="3"/>
  <c r="B733" i="3"/>
  <c r="C732" i="3"/>
  <c r="B732" i="3"/>
  <c r="D731" i="3"/>
  <c r="C731" i="3"/>
  <c r="B731" i="3"/>
  <c r="C730" i="3"/>
  <c r="B730" i="3"/>
  <c r="C729" i="3"/>
  <c r="B729" i="3"/>
  <c r="C728" i="3"/>
  <c r="B728" i="3"/>
  <c r="C727" i="3"/>
  <c r="B727" i="3"/>
  <c r="C726" i="3"/>
  <c r="B726" i="3"/>
  <c r="C725" i="3"/>
  <c r="B725" i="3"/>
  <c r="C724" i="3"/>
  <c r="B724" i="3"/>
  <c r="C723" i="3"/>
  <c r="B723" i="3"/>
  <c r="C722" i="3"/>
  <c r="B722" i="3"/>
  <c r="C721" i="3"/>
  <c r="B721" i="3"/>
  <c r="C720" i="3"/>
  <c r="B720" i="3"/>
  <c r="C719" i="3"/>
  <c r="B719" i="3"/>
  <c r="C718" i="3"/>
  <c r="B718" i="3"/>
  <c r="C717" i="3"/>
  <c r="B717" i="3"/>
  <c r="C716" i="3"/>
  <c r="B716" i="3"/>
  <c r="C715" i="3"/>
  <c r="B715" i="3"/>
  <c r="C714" i="3"/>
  <c r="B714" i="3"/>
  <c r="C713" i="3"/>
  <c r="B713" i="3"/>
  <c r="C712" i="3"/>
  <c r="B712" i="3"/>
  <c r="D711" i="3"/>
  <c r="C711" i="3"/>
  <c r="B711" i="3"/>
  <c r="C710" i="3"/>
  <c r="B710" i="3"/>
  <c r="C709" i="3"/>
  <c r="B709" i="3"/>
  <c r="C708" i="3"/>
  <c r="B708" i="3"/>
  <c r="C707" i="3"/>
  <c r="B707" i="3"/>
  <c r="E706" i="3"/>
  <c r="D706" i="3"/>
  <c r="C706" i="3"/>
  <c r="B706" i="3"/>
  <c r="C705" i="3"/>
  <c r="B705" i="3"/>
  <c r="C704" i="3"/>
  <c r="B704" i="3"/>
  <c r="C703" i="3"/>
  <c r="B703" i="3"/>
  <c r="C702" i="3"/>
  <c r="B702" i="3"/>
  <c r="C701" i="3"/>
  <c r="B701" i="3"/>
  <c r="D700" i="3"/>
  <c r="C700" i="3"/>
  <c r="B700" i="3"/>
  <c r="C699" i="3"/>
  <c r="B699" i="3"/>
  <c r="C698" i="3"/>
  <c r="B698" i="3"/>
  <c r="C697" i="3"/>
  <c r="B697" i="3"/>
  <c r="C696" i="3"/>
  <c r="B696" i="3"/>
  <c r="D695" i="3"/>
  <c r="C695" i="3"/>
  <c r="B695" i="3"/>
  <c r="C694" i="3"/>
  <c r="B694" i="3"/>
  <c r="C693" i="3"/>
  <c r="B693" i="3"/>
  <c r="C692" i="3"/>
  <c r="B692" i="3"/>
  <c r="C691" i="3"/>
  <c r="B691" i="3"/>
  <c r="C690" i="3"/>
  <c r="B690" i="3"/>
  <c r="C689" i="3"/>
  <c r="B689" i="3"/>
  <c r="C688" i="3"/>
  <c r="B688" i="3"/>
  <c r="C687" i="3"/>
  <c r="B687" i="3"/>
  <c r="C686" i="3"/>
  <c r="B686" i="3"/>
  <c r="C685" i="3"/>
  <c r="B685" i="3"/>
  <c r="C684" i="3"/>
  <c r="B684" i="3"/>
  <c r="C683" i="3"/>
  <c r="B683" i="3"/>
  <c r="C682" i="3"/>
  <c r="B682" i="3"/>
  <c r="C681" i="3"/>
  <c r="B681" i="3"/>
  <c r="C680" i="3"/>
  <c r="B680" i="3"/>
  <c r="C679" i="3"/>
  <c r="B679" i="3"/>
  <c r="C678" i="3"/>
  <c r="B678" i="3"/>
  <c r="C677" i="3"/>
  <c r="B677" i="3"/>
  <c r="C676" i="3"/>
  <c r="B676" i="3"/>
  <c r="C675" i="3"/>
  <c r="B675" i="3"/>
  <c r="C674" i="3"/>
  <c r="B674" i="3"/>
  <c r="C673" i="3"/>
  <c r="B673" i="3"/>
  <c r="E672" i="3"/>
  <c r="D672" i="3"/>
  <c r="C672" i="3"/>
  <c r="B672" i="3"/>
  <c r="C671" i="3"/>
  <c r="B671" i="3"/>
  <c r="C670" i="3"/>
  <c r="B670" i="3"/>
  <c r="C669" i="3"/>
  <c r="B669" i="3"/>
  <c r="D668" i="3"/>
  <c r="C668" i="3"/>
  <c r="B668" i="3"/>
  <c r="F667" i="3"/>
  <c r="E667" i="3"/>
  <c r="D667" i="3"/>
  <c r="C667" i="3"/>
  <c r="B667" i="3"/>
  <c r="C666" i="3"/>
  <c r="B666" i="3"/>
  <c r="C665" i="3"/>
  <c r="B665" i="3"/>
  <c r="C664" i="3"/>
  <c r="B664" i="3"/>
  <c r="C663" i="3"/>
  <c r="B663" i="3"/>
  <c r="C662" i="3"/>
  <c r="B662" i="3"/>
  <c r="C661" i="3"/>
  <c r="B661" i="3"/>
  <c r="C660" i="3"/>
  <c r="B660" i="3"/>
  <c r="C659" i="3"/>
  <c r="B659" i="3"/>
  <c r="C658" i="3"/>
  <c r="B658" i="3"/>
  <c r="C657" i="3"/>
  <c r="B657" i="3"/>
  <c r="D656" i="3"/>
  <c r="C656" i="3"/>
  <c r="B656" i="3"/>
  <c r="C655" i="3"/>
  <c r="B655" i="3"/>
  <c r="C654" i="3"/>
  <c r="B654" i="3"/>
  <c r="C653" i="3"/>
  <c r="B653" i="3"/>
  <c r="C652" i="3"/>
  <c r="B652" i="3"/>
  <c r="C651" i="3"/>
  <c r="B651" i="3"/>
  <c r="D650" i="3"/>
  <c r="C650" i="3"/>
  <c r="B650" i="3"/>
  <c r="C649" i="3"/>
  <c r="B649" i="3"/>
  <c r="C648" i="3"/>
  <c r="B648" i="3"/>
  <c r="C647" i="3"/>
  <c r="B647" i="3"/>
  <c r="C646" i="3"/>
  <c r="B646" i="3"/>
  <c r="C645" i="3"/>
  <c r="B645" i="3"/>
  <c r="D644" i="3"/>
  <c r="C644" i="3"/>
  <c r="B644" i="3"/>
  <c r="C643" i="3"/>
  <c r="B643" i="3"/>
  <c r="C642" i="3"/>
  <c r="B642" i="3"/>
  <c r="C641" i="3"/>
  <c r="B641" i="3"/>
  <c r="C640" i="3"/>
  <c r="B640" i="3"/>
  <c r="C639" i="3"/>
  <c r="B639" i="3"/>
  <c r="C638" i="3"/>
  <c r="B638" i="3"/>
  <c r="C637" i="3"/>
  <c r="B637" i="3"/>
  <c r="C636" i="3"/>
  <c r="B636" i="3"/>
  <c r="C635" i="3"/>
  <c r="B635" i="3"/>
  <c r="C634" i="3"/>
  <c r="B634" i="3"/>
  <c r="C633" i="3"/>
  <c r="B633" i="3"/>
  <c r="C632" i="3"/>
  <c r="B632" i="3"/>
  <c r="C631" i="3"/>
  <c r="B631" i="3"/>
  <c r="C630" i="3"/>
  <c r="B630" i="3"/>
  <c r="C629" i="3"/>
  <c r="B629" i="3"/>
  <c r="C628" i="3"/>
  <c r="B628" i="3"/>
  <c r="C627" i="3"/>
  <c r="B627" i="3"/>
  <c r="D626" i="3"/>
  <c r="C626" i="3"/>
  <c r="B626" i="3"/>
  <c r="C625" i="3"/>
  <c r="B625" i="3"/>
  <c r="C624" i="3"/>
  <c r="B624" i="3"/>
  <c r="C623" i="3"/>
  <c r="B623" i="3"/>
  <c r="C622" i="3"/>
  <c r="B622" i="3"/>
  <c r="C621" i="3"/>
  <c r="B621" i="3"/>
  <c r="C620" i="3"/>
  <c r="B620" i="3"/>
  <c r="C619" i="3"/>
  <c r="B619" i="3"/>
  <c r="C618" i="3"/>
  <c r="B618" i="3"/>
  <c r="C617" i="3"/>
  <c r="B617" i="3"/>
  <c r="C616" i="3"/>
  <c r="B616" i="3"/>
  <c r="C615" i="3"/>
  <c r="B615" i="3"/>
  <c r="C614" i="3"/>
  <c r="B614" i="3"/>
  <c r="C613" i="3"/>
  <c r="B613" i="3"/>
  <c r="C612" i="3"/>
  <c r="B612" i="3"/>
  <c r="D611" i="3"/>
  <c r="C611" i="3"/>
  <c r="B611" i="3"/>
  <c r="C610" i="3"/>
  <c r="B610" i="3"/>
  <c r="D609" i="3"/>
  <c r="C609" i="3"/>
  <c r="B609" i="3"/>
  <c r="C608" i="3"/>
  <c r="B608" i="3"/>
  <c r="C607" i="3"/>
  <c r="B607" i="3"/>
  <c r="C606" i="3"/>
  <c r="B606" i="3"/>
  <c r="C605" i="3"/>
  <c r="B605" i="3"/>
  <c r="C604" i="3"/>
  <c r="B604" i="3"/>
  <c r="C603" i="3"/>
  <c r="B603" i="3"/>
  <c r="C602" i="3"/>
  <c r="B602" i="3"/>
  <c r="C601" i="3"/>
  <c r="B601" i="3"/>
  <c r="C600" i="3"/>
  <c r="B600" i="3"/>
  <c r="C599" i="3"/>
  <c r="B599" i="3"/>
  <c r="C598" i="3"/>
  <c r="B598" i="3"/>
  <c r="C597" i="3"/>
  <c r="B597" i="3"/>
  <c r="C596" i="3"/>
  <c r="B596" i="3"/>
  <c r="C595" i="3"/>
  <c r="B595" i="3"/>
  <c r="C594" i="3"/>
  <c r="B594" i="3"/>
  <c r="C593" i="3"/>
  <c r="B593" i="3"/>
  <c r="C592" i="3"/>
  <c r="B592" i="3"/>
  <c r="C591" i="3"/>
  <c r="B591" i="3"/>
  <c r="C590" i="3"/>
  <c r="B590" i="3"/>
  <c r="C589" i="3"/>
  <c r="B589" i="3"/>
  <c r="C588" i="3"/>
  <c r="B588" i="3"/>
  <c r="C587" i="3"/>
  <c r="B587" i="3"/>
  <c r="C586" i="3"/>
  <c r="B586" i="3"/>
  <c r="C585" i="3"/>
  <c r="B585" i="3"/>
  <c r="C584" i="3"/>
  <c r="B584" i="3"/>
  <c r="C583" i="3"/>
  <c r="B583" i="3"/>
  <c r="D582" i="3"/>
  <c r="C582" i="3"/>
  <c r="B582" i="3"/>
  <c r="C581" i="3"/>
  <c r="B581" i="3"/>
  <c r="C580" i="3"/>
  <c r="B580" i="3"/>
  <c r="C579" i="3"/>
  <c r="B579" i="3"/>
  <c r="C578" i="3"/>
  <c r="B578" i="3"/>
  <c r="D577" i="3"/>
  <c r="C577" i="3"/>
  <c r="B577" i="3"/>
  <c r="C576" i="3"/>
  <c r="B576" i="3"/>
  <c r="C575" i="3"/>
  <c r="B575" i="3"/>
  <c r="C574" i="3"/>
  <c r="B574" i="3"/>
  <c r="C573" i="3"/>
  <c r="B573" i="3"/>
  <c r="C572" i="3"/>
  <c r="B572" i="3"/>
  <c r="C571" i="3"/>
  <c r="B571" i="3"/>
  <c r="C570" i="3"/>
  <c r="B570" i="3"/>
  <c r="E569" i="3"/>
  <c r="D569" i="3"/>
  <c r="C569" i="3"/>
  <c r="B569" i="3"/>
  <c r="D568" i="3"/>
  <c r="C568" i="3"/>
  <c r="B568" i="3"/>
  <c r="C567" i="3"/>
  <c r="B567" i="3"/>
  <c r="C566" i="3"/>
  <c r="B566" i="3"/>
  <c r="C565" i="3"/>
  <c r="B565" i="3"/>
  <c r="C564" i="3"/>
  <c r="B564" i="3"/>
  <c r="C563" i="3"/>
  <c r="B563" i="3"/>
  <c r="C562" i="3"/>
  <c r="B562" i="3"/>
  <c r="C561" i="3"/>
  <c r="B561" i="3"/>
  <c r="C560" i="3"/>
  <c r="B560" i="3"/>
  <c r="C559" i="3"/>
  <c r="B559" i="3"/>
  <c r="C558" i="3"/>
  <c r="B558" i="3"/>
  <c r="C557" i="3"/>
  <c r="B557" i="3"/>
  <c r="C556" i="3"/>
  <c r="B556" i="3"/>
  <c r="D555" i="3"/>
  <c r="C555" i="3"/>
  <c r="B555" i="3"/>
  <c r="C554" i="3"/>
  <c r="B554" i="3"/>
  <c r="C553" i="3"/>
  <c r="B553" i="3"/>
  <c r="C552" i="3"/>
  <c r="B552" i="3"/>
  <c r="C551" i="3"/>
  <c r="B551" i="3"/>
  <c r="C550" i="3"/>
  <c r="B550" i="3"/>
  <c r="C549" i="3"/>
  <c r="B549" i="3"/>
  <c r="C548" i="3"/>
  <c r="B548" i="3"/>
  <c r="C547" i="3"/>
  <c r="B547" i="3"/>
  <c r="C546" i="3"/>
  <c r="B546" i="3"/>
  <c r="C545" i="3"/>
  <c r="B545" i="3"/>
  <c r="C544" i="3"/>
  <c r="B544" i="3"/>
  <c r="C543" i="3"/>
  <c r="B543" i="3"/>
  <c r="C542" i="3"/>
  <c r="B542" i="3"/>
  <c r="C541" i="3"/>
  <c r="B541" i="3"/>
  <c r="C540" i="3"/>
  <c r="B540" i="3"/>
  <c r="C539" i="3"/>
  <c r="B539" i="3"/>
  <c r="C538" i="3"/>
  <c r="B538" i="3"/>
  <c r="C537" i="3"/>
  <c r="B537" i="3"/>
  <c r="C536" i="3"/>
  <c r="B536" i="3"/>
  <c r="C535" i="3"/>
  <c r="B535" i="3"/>
  <c r="C534" i="3"/>
  <c r="B534" i="3"/>
  <c r="C533" i="3"/>
  <c r="B533" i="3"/>
  <c r="C532" i="3"/>
  <c r="B532" i="3"/>
  <c r="E531" i="3"/>
  <c r="D531" i="3"/>
  <c r="C531" i="3"/>
  <c r="B531" i="3"/>
  <c r="D530" i="3"/>
  <c r="C530" i="3"/>
  <c r="B530" i="3"/>
  <c r="C529" i="3"/>
  <c r="B529" i="3"/>
  <c r="C528" i="3"/>
  <c r="B528" i="3"/>
  <c r="C527" i="3"/>
  <c r="B527" i="3"/>
  <c r="C526" i="3"/>
  <c r="B526" i="3"/>
  <c r="C525" i="3"/>
  <c r="B525" i="3"/>
  <c r="C524" i="3"/>
  <c r="B524" i="3"/>
  <c r="C523" i="3"/>
  <c r="B523" i="3"/>
  <c r="C522" i="3"/>
  <c r="B522" i="3"/>
  <c r="D521" i="3"/>
  <c r="C521" i="3"/>
  <c r="B521" i="3"/>
  <c r="C520" i="3"/>
  <c r="B520" i="3"/>
  <c r="C519" i="3"/>
  <c r="B519" i="3"/>
  <c r="D518" i="3"/>
  <c r="C518" i="3"/>
  <c r="B518" i="3"/>
  <c r="C517" i="3"/>
  <c r="B517" i="3"/>
  <c r="C516" i="3"/>
  <c r="B516" i="3"/>
  <c r="C515" i="3"/>
  <c r="B515" i="3"/>
  <c r="C514" i="3"/>
  <c r="B514" i="3"/>
  <c r="C513" i="3"/>
  <c r="B513" i="3"/>
  <c r="C512" i="3"/>
  <c r="B512" i="3"/>
  <c r="C511" i="3"/>
  <c r="B511" i="3"/>
  <c r="C510" i="3"/>
  <c r="B510" i="3"/>
  <c r="C509" i="3"/>
  <c r="B509" i="3"/>
  <c r="C508" i="3"/>
  <c r="B508" i="3"/>
  <c r="C507" i="3"/>
  <c r="B507" i="3"/>
  <c r="C506" i="3"/>
  <c r="B506" i="3"/>
  <c r="C505" i="3"/>
  <c r="B505" i="3"/>
  <c r="C504" i="3"/>
  <c r="B504" i="3"/>
  <c r="C503" i="3"/>
  <c r="B503" i="3"/>
  <c r="C502" i="3"/>
  <c r="B502" i="3"/>
  <c r="C501" i="3"/>
  <c r="B501" i="3"/>
  <c r="C500" i="3"/>
  <c r="B500" i="3"/>
  <c r="C499" i="3"/>
  <c r="B499" i="3"/>
  <c r="C498" i="3"/>
  <c r="B498" i="3"/>
  <c r="C497" i="3"/>
  <c r="B497" i="3"/>
  <c r="C496" i="3"/>
  <c r="B496" i="3"/>
  <c r="C495" i="3"/>
  <c r="B495" i="3"/>
  <c r="C494" i="3"/>
  <c r="B494" i="3"/>
  <c r="C493" i="3"/>
  <c r="B493" i="3"/>
  <c r="C492" i="3"/>
  <c r="B492" i="3"/>
  <c r="C491" i="3"/>
  <c r="B491" i="3"/>
  <c r="C490" i="3"/>
  <c r="B490" i="3"/>
  <c r="E489" i="3"/>
  <c r="D489" i="3"/>
  <c r="C489" i="3"/>
  <c r="B489" i="3"/>
  <c r="C488" i="3"/>
  <c r="B488" i="3"/>
  <c r="C487" i="3"/>
  <c r="B487" i="3"/>
  <c r="C486" i="3"/>
  <c r="B486" i="3"/>
  <c r="C485" i="3"/>
  <c r="B485" i="3"/>
  <c r="C484" i="3"/>
  <c r="B484" i="3"/>
  <c r="C483" i="3"/>
  <c r="B483" i="3"/>
  <c r="C482" i="3"/>
  <c r="B482" i="3"/>
  <c r="C481" i="3"/>
  <c r="B481" i="3"/>
  <c r="C480" i="3"/>
  <c r="B480" i="3"/>
  <c r="C479" i="3"/>
  <c r="B479" i="3"/>
  <c r="C478" i="3"/>
  <c r="B478" i="3"/>
  <c r="D477" i="3"/>
  <c r="C477" i="3"/>
  <c r="B477" i="3"/>
  <c r="C476" i="3"/>
  <c r="B476" i="3"/>
  <c r="C475" i="3"/>
  <c r="B475" i="3"/>
  <c r="C474" i="3"/>
  <c r="B474" i="3"/>
  <c r="C473" i="3"/>
  <c r="B473" i="3"/>
  <c r="C472" i="3"/>
  <c r="B472" i="3"/>
  <c r="C471" i="3"/>
  <c r="B471" i="3"/>
  <c r="C470" i="3"/>
  <c r="B470" i="3"/>
  <c r="C469" i="3"/>
  <c r="B469" i="3"/>
  <c r="C468" i="3"/>
  <c r="B468" i="3"/>
  <c r="C467" i="3"/>
  <c r="B467" i="3"/>
  <c r="C466" i="3"/>
  <c r="B466" i="3"/>
  <c r="C465" i="3"/>
  <c r="B465" i="3"/>
  <c r="C464" i="3"/>
  <c r="B464" i="3"/>
  <c r="C463" i="3"/>
  <c r="B463" i="3"/>
  <c r="C462" i="3"/>
  <c r="B462" i="3"/>
  <c r="C461" i="3"/>
  <c r="B461" i="3"/>
  <c r="C460" i="3"/>
  <c r="B460" i="3"/>
  <c r="C459" i="3"/>
  <c r="B459" i="3"/>
  <c r="E458" i="3"/>
  <c r="D458" i="3"/>
  <c r="C458" i="3"/>
  <c r="B458" i="3"/>
  <c r="C457" i="3"/>
  <c r="B457" i="3"/>
  <c r="C456" i="3"/>
  <c r="B456" i="3"/>
  <c r="C455" i="3"/>
  <c r="B455" i="3"/>
  <c r="C454" i="3"/>
  <c r="B454" i="3"/>
  <c r="C453" i="3"/>
  <c r="B453" i="3"/>
  <c r="C452" i="3"/>
  <c r="B452" i="3"/>
  <c r="C451" i="3"/>
  <c r="B451" i="3"/>
  <c r="C450" i="3"/>
  <c r="B450" i="3"/>
  <c r="C449" i="3"/>
  <c r="B449" i="3"/>
  <c r="C448" i="3"/>
  <c r="B448" i="3"/>
  <c r="C447" i="3"/>
  <c r="B447" i="3"/>
  <c r="C446" i="3"/>
  <c r="B446" i="3"/>
  <c r="C445" i="3"/>
  <c r="B445" i="3"/>
  <c r="C444" i="3"/>
  <c r="B444" i="3"/>
  <c r="C443" i="3"/>
  <c r="B443" i="3"/>
  <c r="C442" i="3"/>
  <c r="B442" i="3"/>
  <c r="C441" i="3"/>
  <c r="B441" i="3"/>
  <c r="C440" i="3"/>
  <c r="B440" i="3"/>
  <c r="C439" i="3"/>
  <c r="B439" i="3"/>
  <c r="C438" i="3"/>
  <c r="B438" i="3"/>
  <c r="C437" i="3"/>
  <c r="B437" i="3"/>
  <c r="C436" i="3"/>
  <c r="B436" i="3"/>
  <c r="C435" i="3"/>
  <c r="B435" i="3"/>
  <c r="C434" i="3"/>
  <c r="B434" i="3"/>
  <c r="D433" i="3"/>
  <c r="C433" i="3"/>
  <c r="B433" i="3"/>
  <c r="C432" i="3"/>
  <c r="B432" i="3"/>
  <c r="C431" i="3"/>
  <c r="B431" i="3"/>
  <c r="D430" i="3"/>
  <c r="C430" i="3"/>
  <c r="B430" i="3"/>
  <c r="C429" i="3"/>
  <c r="B429" i="3"/>
  <c r="C428" i="3"/>
  <c r="B428" i="3"/>
  <c r="C427" i="3"/>
  <c r="B427" i="3"/>
  <c r="C426" i="3"/>
  <c r="B426" i="3"/>
  <c r="C425" i="3"/>
  <c r="B425" i="3"/>
  <c r="C424" i="3"/>
  <c r="B424" i="3"/>
  <c r="C423" i="3"/>
  <c r="B423" i="3"/>
  <c r="C422" i="3"/>
  <c r="B422" i="3"/>
  <c r="C421" i="3"/>
  <c r="B421" i="3"/>
  <c r="C420" i="3"/>
  <c r="B420" i="3"/>
  <c r="C419" i="3"/>
  <c r="B419" i="3"/>
  <c r="C418" i="3"/>
  <c r="B418" i="3"/>
  <c r="C417" i="3"/>
  <c r="B417" i="3"/>
  <c r="C416" i="3"/>
  <c r="B416" i="3"/>
  <c r="C415" i="3"/>
  <c r="B415" i="3"/>
  <c r="D414" i="3"/>
  <c r="C414" i="3"/>
  <c r="B414" i="3"/>
  <c r="C413" i="3"/>
  <c r="B413" i="3"/>
  <c r="F412" i="3"/>
  <c r="E412" i="3"/>
  <c r="D412" i="3"/>
  <c r="C412" i="3"/>
  <c r="B412" i="3"/>
  <c r="C411" i="3"/>
  <c r="B411" i="3"/>
  <c r="C410" i="3"/>
  <c r="B410" i="3"/>
  <c r="C409" i="3"/>
  <c r="B409" i="3"/>
  <c r="C408" i="3"/>
  <c r="B408" i="3"/>
  <c r="C407" i="3"/>
  <c r="B407" i="3"/>
  <c r="C406" i="3"/>
  <c r="B406" i="3"/>
  <c r="C405" i="3"/>
  <c r="B405" i="3"/>
  <c r="D404" i="3"/>
  <c r="C404" i="3"/>
  <c r="B404" i="3"/>
  <c r="C403" i="3"/>
  <c r="B403" i="3"/>
  <c r="D402" i="3"/>
  <c r="C402" i="3"/>
  <c r="B402" i="3"/>
  <c r="C401" i="3"/>
  <c r="B401" i="3"/>
  <c r="C400" i="3"/>
  <c r="B400" i="3"/>
  <c r="C399" i="3"/>
  <c r="B399" i="3"/>
  <c r="C398" i="3"/>
  <c r="B398" i="3"/>
  <c r="C397" i="3"/>
  <c r="B397" i="3"/>
  <c r="C396" i="3"/>
  <c r="B396" i="3"/>
  <c r="C395" i="3"/>
  <c r="B395" i="3"/>
  <c r="C394" i="3"/>
  <c r="B394" i="3"/>
  <c r="C393" i="3"/>
  <c r="B393" i="3"/>
  <c r="C392" i="3"/>
  <c r="B392" i="3"/>
  <c r="C391" i="3"/>
  <c r="B391" i="3"/>
  <c r="C390" i="3"/>
  <c r="B390" i="3"/>
  <c r="C389" i="3"/>
  <c r="B389" i="3"/>
  <c r="D388" i="3"/>
  <c r="C388" i="3"/>
  <c r="B388" i="3"/>
  <c r="C387" i="3"/>
  <c r="B387" i="3"/>
  <c r="C386" i="3"/>
  <c r="B386" i="3"/>
  <c r="C385" i="3"/>
  <c r="B385" i="3"/>
  <c r="C384" i="3"/>
  <c r="B384" i="3"/>
  <c r="D383" i="3"/>
  <c r="C383" i="3"/>
  <c r="B383" i="3"/>
  <c r="C382" i="3"/>
  <c r="B382" i="3"/>
  <c r="E381" i="3"/>
  <c r="D381" i="3"/>
  <c r="C381" i="3"/>
  <c r="B381" i="3"/>
  <c r="C380" i="3"/>
  <c r="B380" i="3"/>
  <c r="C379" i="3"/>
  <c r="B379" i="3"/>
  <c r="C378" i="3"/>
  <c r="B378" i="3"/>
  <c r="C377" i="3"/>
  <c r="B377" i="3"/>
  <c r="C376" i="3"/>
  <c r="B376" i="3"/>
  <c r="C375" i="3"/>
  <c r="B375" i="3"/>
  <c r="C374" i="3"/>
  <c r="B374" i="3"/>
  <c r="C373" i="3"/>
  <c r="B373" i="3"/>
  <c r="C372" i="3"/>
  <c r="B372" i="3"/>
  <c r="C371" i="3"/>
  <c r="B371" i="3"/>
  <c r="C370" i="3"/>
  <c r="B370" i="3"/>
  <c r="C369" i="3"/>
  <c r="B369" i="3"/>
  <c r="C368" i="3"/>
  <c r="B368" i="3"/>
  <c r="C367" i="3"/>
  <c r="B367" i="3"/>
  <c r="E366" i="3"/>
  <c r="D366" i="3"/>
  <c r="C366" i="3"/>
  <c r="B366" i="3"/>
  <c r="C365" i="3"/>
  <c r="B365" i="3"/>
  <c r="C364" i="3"/>
  <c r="B364" i="3"/>
  <c r="C363" i="3"/>
  <c r="B363" i="3"/>
  <c r="C362" i="3"/>
  <c r="B362" i="3"/>
  <c r="C361" i="3"/>
  <c r="B361" i="3"/>
  <c r="C360" i="3"/>
  <c r="B360" i="3"/>
  <c r="C359" i="3"/>
  <c r="B359" i="3"/>
  <c r="D358" i="3"/>
  <c r="C358" i="3"/>
  <c r="B358" i="3"/>
  <c r="B357" i="3"/>
  <c r="B356" i="3"/>
  <c r="C355" i="3"/>
  <c r="B355" i="3"/>
  <c r="C354" i="3"/>
  <c r="B354" i="3"/>
  <c r="C353" i="3"/>
  <c r="B353" i="3"/>
  <c r="C352" i="3"/>
  <c r="B352" i="3"/>
  <c r="C351" i="3"/>
  <c r="B351" i="3"/>
  <c r="D350" i="3"/>
  <c r="C350" i="3"/>
  <c r="B350" i="3"/>
  <c r="D349" i="3"/>
  <c r="C349" i="3"/>
  <c r="B349" i="3"/>
  <c r="C348" i="3"/>
  <c r="B348" i="3"/>
  <c r="C347" i="3"/>
  <c r="B347" i="3"/>
  <c r="C346" i="3"/>
  <c r="B346" i="3"/>
  <c r="C345" i="3"/>
  <c r="B345" i="3"/>
  <c r="C344" i="3"/>
  <c r="B344" i="3"/>
  <c r="C343" i="3"/>
  <c r="B343" i="3"/>
  <c r="C342" i="3"/>
  <c r="B342" i="3"/>
  <c r="D341" i="3"/>
  <c r="C341" i="3"/>
  <c r="B341" i="3"/>
  <c r="C340" i="3"/>
  <c r="B340" i="3"/>
  <c r="C339" i="3"/>
  <c r="B339" i="3"/>
  <c r="C338" i="3"/>
  <c r="B338" i="3"/>
  <c r="C337" i="3"/>
  <c r="B337" i="3"/>
  <c r="C336" i="3"/>
  <c r="B336" i="3"/>
  <c r="C335" i="3"/>
  <c r="B335" i="3"/>
  <c r="E334" i="3"/>
  <c r="D334" i="3"/>
  <c r="C334" i="3"/>
  <c r="B334" i="3"/>
  <c r="C333" i="3"/>
  <c r="B333" i="3"/>
  <c r="C332" i="3"/>
  <c r="B332" i="3"/>
  <c r="C331" i="3"/>
  <c r="B331" i="3"/>
  <c r="C330" i="3"/>
  <c r="B330" i="3"/>
  <c r="D329" i="3"/>
  <c r="C329" i="3"/>
  <c r="B329" i="3"/>
  <c r="C328" i="3"/>
  <c r="B328" i="3"/>
  <c r="C327" i="3"/>
  <c r="B327" i="3"/>
  <c r="C326" i="3"/>
  <c r="B326" i="3"/>
  <c r="E325" i="3"/>
  <c r="D325" i="3"/>
  <c r="C325" i="3"/>
  <c r="B325" i="3"/>
  <c r="D324" i="3"/>
  <c r="C324" i="3"/>
  <c r="B324" i="3"/>
  <c r="C323" i="3"/>
  <c r="B323" i="3"/>
  <c r="D322" i="3"/>
  <c r="C322" i="3"/>
  <c r="B322" i="3"/>
  <c r="D321" i="3"/>
  <c r="C321" i="3"/>
  <c r="B321" i="3"/>
  <c r="C320" i="3"/>
  <c r="B320" i="3"/>
  <c r="G319" i="3"/>
  <c r="F319" i="3"/>
  <c r="E319" i="3"/>
  <c r="D319" i="3"/>
  <c r="C319" i="3"/>
  <c r="B319" i="3"/>
  <c r="C318" i="3"/>
  <c r="B318" i="3"/>
  <c r="C317" i="3"/>
  <c r="B317" i="3"/>
  <c r="C316" i="3"/>
  <c r="B316" i="3"/>
  <c r="C315" i="3"/>
  <c r="B315" i="3"/>
  <c r="C314" i="3"/>
  <c r="B314" i="3"/>
  <c r="C313" i="3"/>
  <c r="B313" i="3"/>
  <c r="C312" i="3"/>
  <c r="B312" i="3"/>
  <c r="C311" i="3"/>
  <c r="B311" i="3"/>
  <c r="C310" i="3"/>
  <c r="B310" i="3"/>
  <c r="C309" i="3"/>
  <c r="B309" i="3"/>
  <c r="C308" i="3"/>
  <c r="B308" i="3"/>
  <c r="C307" i="3"/>
  <c r="B307" i="3"/>
  <c r="C306" i="3"/>
  <c r="B306" i="3"/>
  <c r="C305" i="3"/>
  <c r="B305" i="3"/>
  <c r="C304" i="3"/>
  <c r="B304" i="3"/>
  <c r="C303" i="3"/>
  <c r="B303" i="3"/>
  <c r="D302" i="3"/>
  <c r="C302" i="3"/>
  <c r="B302" i="3"/>
  <c r="C301" i="3"/>
  <c r="B301" i="3"/>
  <c r="C300" i="3"/>
  <c r="B300" i="3"/>
  <c r="C299" i="3"/>
  <c r="B299" i="3"/>
  <c r="C298" i="3"/>
  <c r="B298" i="3"/>
  <c r="C297" i="3"/>
  <c r="B297" i="3"/>
  <c r="C296" i="3"/>
  <c r="B296" i="3"/>
  <c r="C295" i="3"/>
  <c r="B295" i="3"/>
  <c r="C294" i="3"/>
  <c r="B294" i="3"/>
  <c r="C293" i="3"/>
  <c r="B293" i="3"/>
  <c r="C292" i="3"/>
  <c r="B292" i="3"/>
  <c r="C291" i="3"/>
  <c r="B291" i="3"/>
  <c r="C290" i="3"/>
  <c r="B290" i="3"/>
  <c r="C289" i="3"/>
  <c r="B289" i="3"/>
  <c r="C288" i="3"/>
  <c r="B288" i="3"/>
  <c r="C287" i="3"/>
  <c r="B287" i="3"/>
  <c r="C286" i="3"/>
  <c r="B286" i="3"/>
  <c r="C285" i="3"/>
  <c r="B285" i="3"/>
  <c r="C284" i="3"/>
  <c r="B284" i="3"/>
  <c r="C283" i="3"/>
  <c r="B283" i="3"/>
  <c r="C282" i="3"/>
  <c r="B282" i="3"/>
  <c r="C281" i="3"/>
  <c r="B281" i="3"/>
  <c r="C280" i="3"/>
  <c r="B280" i="3"/>
  <c r="C279" i="3"/>
  <c r="B279" i="3"/>
  <c r="C278" i="3"/>
  <c r="B278" i="3"/>
  <c r="C277" i="3"/>
  <c r="B277" i="3"/>
  <c r="C276" i="3"/>
  <c r="B276" i="3"/>
  <c r="D275" i="3"/>
  <c r="C275" i="3"/>
  <c r="B275" i="3"/>
  <c r="C274" i="3"/>
  <c r="B274" i="3"/>
  <c r="C273" i="3"/>
  <c r="B273" i="3"/>
  <c r="D272" i="3"/>
  <c r="C272" i="3"/>
  <c r="B272" i="3"/>
  <c r="C271" i="3"/>
  <c r="B271" i="3"/>
  <c r="C270" i="3"/>
  <c r="B270" i="3"/>
  <c r="C269" i="3"/>
  <c r="B269" i="3"/>
  <c r="C268" i="3"/>
  <c r="B268" i="3"/>
  <c r="C267" i="3"/>
  <c r="B267" i="3"/>
  <c r="C266" i="3"/>
  <c r="B266" i="3"/>
  <c r="C265" i="3"/>
  <c r="B265" i="3"/>
  <c r="C264" i="3"/>
  <c r="B264" i="3"/>
  <c r="D263" i="3"/>
  <c r="C263" i="3"/>
  <c r="B263" i="3"/>
  <c r="C262" i="3"/>
  <c r="B262" i="3"/>
  <c r="D261" i="3"/>
  <c r="C261" i="3"/>
  <c r="B261" i="3"/>
  <c r="C260" i="3"/>
  <c r="B260" i="3"/>
  <c r="C259" i="3"/>
  <c r="B259" i="3"/>
  <c r="C258" i="3"/>
  <c r="B258" i="3"/>
  <c r="C257" i="3"/>
  <c r="B257" i="3"/>
  <c r="C256" i="3"/>
  <c r="B256" i="3"/>
  <c r="C255" i="3"/>
  <c r="B255" i="3"/>
  <c r="E254" i="3"/>
  <c r="D254" i="3"/>
  <c r="C254" i="3"/>
  <c r="B254" i="3"/>
  <c r="D253" i="3"/>
  <c r="C253" i="3"/>
  <c r="B253" i="3"/>
  <c r="D252" i="3"/>
  <c r="C252" i="3"/>
  <c r="B252" i="3"/>
  <c r="D251" i="3"/>
  <c r="C251" i="3"/>
  <c r="B251" i="3"/>
  <c r="C250" i="3"/>
  <c r="B250" i="3"/>
  <c r="C249" i="3"/>
  <c r="B249" i="3"/>
  <c r="C248" i="3"/>
  <c r="B248" i="3"/>
  <c r="C247" i="3"/>
  <c r="B247" i="3"/>
  <c r="C246" i="3"/>
  <c r="B246" i="3"/>
  <c r="C245" i="3"/>
  <c r="B245" i="3"/>
  <c r="C244" i="3"/>
  <c r="B244" i="3"/>
  <c r="C243" i="3"/>
  <c r="B243" i="3"/>
  <c r="C242" i="3"/>
  <c r="B242" i="3"/>
  <c r="C241" i="3"/>
  <c r="B241" i="3"/>
  <c r="C240" i="3"/>
  <c r="B240" i="3"/>
  <c r="C239" i="3"/>
  <c r="B239" i="3"/>
  <c r="C238" i="3"/>
  <c r="B238" i="3"/>
  <c r="C237" i="3"/>
  <c r="B237" i="3"/>
  <c r="C236" i="3"/>
  <c r="B236" i="3"/>
  <c r="C235" i="3"/>
  <c r="B235" i="3"/>
  <c r="C234" i="3"/>
  <c r="B234" i="3"/>
  <c r="C233" i="3"/>
  <c r="B233" i="3"/>
  <c r="C232" i="3"/>
  <c r="B232" i="3"/>
  <c r="C231" i="3"/>
  <c r="B231" i="3"/>
  <c r="C230" i="3"/>
  <c r="B230" i="3"/>
  <c r="C229" i="3"/>
  <c r="B229" i="3"/>
  <c r="C228" i="3"/>
  <c r="B228" i="3"/>
  <c r="C227" i="3"/>
  <c r="B227" i="3"/>
  <c r="C226" i="3"/>
  <c r="B226" i="3"/>
  <c r="C225" i="3"/>
  <c r="B225" i="3"/>
  <c r="C224" i="3"/>
  <c r="B224" i="3"/>
  <c r="C223" i="3"/>
  <c r="B223" i="3"/>
  <c r="C222" i="3"/>
  <c r="B222" i="3"/>
  <c r="C221" i="3"/>
  <c r="B221" i="3"/>
  <c r="C220" i="3"/>
  <c r="B220" i="3"/>
  <c r="C219" i="3"/>
  <c r="B219" i="3"/>
  <c r="D218" i="3"/>
  <c r="C218" i="3"/>
  <c r="B218" i="3"/>
  <c r="C217" i="3"/>
  <c r="B217" i="3"/>
  <c r="C216" i="3"/>
  <c r="B216" i="3"/>
  <c r="C215" i="3"/>
  <c r="B215" i="3"/>
  <c r="C214" i="3"/>
  <c r="B214" i="3"/>
  <c r="C213" i="3"/>
  <c r="B213" i="3"/>
  <c r="D212" i="3"/>
  <c r="C212" i="3"/>
  <c r="B212" i="3"/>
  <c r="C211" i="3"/>
  <c r="B211" i="3"/>
  <c r="C210" i="3"/>
  <c r="B210" i="3"/>
  <c r="C209" i="3"/>
  <c r="B209" i="3"/>
  <c r="C208" i="3"/>
  <c r="B208" i="3"/>
  <c r="C207" i="3"/>
  <c r="B207" i="3"/>
  <c r="C206" i="3"/>
  <c r="B206" i="3"/>
  <c r="C205" i="3"/>
  <c r="B205" i="3"/>
  <c r="C204" i="3"/>
  <c r="B204" i="3"/>
  <c r="C203" i="3"/>
  <c r="B203" i="3"/>
  <c r="C202" i="3"/>
  <c r="B202" i="3"/>
  <c r="C201" i="3"/>
  <c r="B201" i="3"/>
  <c r="C200" i="3"/>
  <c r="B200" i="3"/>
  <c r="C199" i="3"/>
  <c r="B199" i="3"/>
  <c r="C198" i="3"/>
  <c r="B198" i="3"/>
  <c r="C197" i="3"/>
  <c r="B197" i="3"/>
  <c r="C196" i="3"/>
  <c r="B196" i="3"/>
  <c r="C195" i="3"/>
  <c r="B195" i="3"/>
  <c r="C194" i="3"/>
  <c r="B194" i="3"/>
  <c r="D193" i="3"/>
  <c r="C193" i="3"/>
  <c r="B193" i="3"/>
  <c r="C192" i="3"/>
  <c r="B192" i="3"/>
  <c r="E191" i="3"/>
  <c r="D191" i="3"/>
  <c r="C191" i="3"/>
  <c r="B191" i="3"/>
  <c r="C190" i="3"/>
  <c r="B190" i="3"/>
  <c r="C189" i="3"/>
  <c r="B189" i="3"/>
  <c r="C188" i="3"/>
  <c r="B188" i="3"/>
  <c r="C187" i="3"/>
  <c r="B187" i="3"/>
  <c r="C186" i="3"/>
  <c r="B186" i="3"/>
  <c r="E185" i="3"/>
  <c r="D185" i="3"/>
  <c r="C185" i="3"/>
  <c r="B185" i="3"/>
  <c r="C184" i="3"/>
  <c r="B184" i="3"/>
  <c r="C183" i="3"/>
  <c r="B183" i="3"/>
  <c r="C182" i="3"/>
  <c r="B182" i="3"/>
  <c r="C181" i="3"/>
  <c r="B181" i="3"/>
  <c r="C180" i="3"/>
  <c r="B180" i="3"/>
  <c r="C179" i="3"/>
  <c r="B179" i="3"/>
  <c r="C178" i="3"/>
  <c r="B178" i="3"/>
  <c r="C177" i="3"/>
  <c r="B177" i="3"/>
  <c r="C176" i="3"/>
  <c r="B176" i="3"/>
  <c r="C175" i="3"/>
  <c r="B175" i="3"/>
  <c r="C174" i="3"/>
  <c r="B174" i="3"/>
  <c r="C173" i="3"/>
  <c r="B173" i="3"/>
  <c r="C172" i="3"/>
  <c r="B172" i="3"/>
  <c r="C171" i="3"/>
  <c r="B171" i="3"/>
  <c r="C170" i="3"/>
  <c r="B170" i="3"/>
  <c r="C169" i="3"/>
  <c r="B169" i="3"/>
  <c r="D168" i="3"/>
  <c r="C168" i="3"/>
  <c r="B168" i="3"/>
  <c r="H167" i="3"/>
  <c r="G167" i="3"/>
  <c r="F167" i="3"/>
  <c r="E167" i="3"/>
  <c r="D167" i="3"/>
  <c r="C167" i="3"/>
  <c r="B167" i="3"/>
  <c r="C166" i="3"/>
  <c r="B166" i="3"/>
  <c r="C165" i="3"/>
  <c r="B165" i="3"/>
  <c r="C164" i="3"/>
  <c r="B164" i="3"/>
  <c r="E163" i="3"/>
  <c r="D163" i="3"/>
  <c r="C163" i="3"/>
  <c r="B163" i="3"/>
  <c r="C162" i="3"/>
  <c r="B162" i="3"/>
  <c r="C161" i="3"/>
  <c r="B161" i="3"/>
  <c r="C160" i="3"/>
  <c r="B160" i="3"/>
  <c r="C159" i="3"/>
  <c r="B159" i="3"/>
  <c r="D158" i="3"/>
  <c r="C158" i="3"/>
  <c r="B158" i="3"/>
  <c r="C157" i="3"/>
  <c r="B157" i="3"/>
  <c r="C156" i="3"/>
  <c r="B156" i="3"/>
  <c r="E155" i="3"/>
  <c r="D155" i="3"/>
  <c r="C155" i="3"/>
  <c r="B155" i="3"/>
  <c r="E154" i="3"/>
  <c r="D154" i="3"/>
  <c r="C154" i="3"/>
  <c r="B154" i="3"/>
  <c r="D153" i="3"/>
  <c r="C153" i="3"/>
  <c r="B153" i="3"/>
  <c r="C152" i="3"/>
  <c r="B152" i="3"/>
  <c r="C151" i="3"/>
  <c r="B151" i="3"/>
  <c r="C150" i="3"/>
  <c r="B150" i="3"/>
  <c r="C149" i="3"/>
  <c r="B149" i="3"/>
  <c r="C148" i="3"/>
  <c r="B148" i="3"/>
  <c r="C147" i="3"/>
  <c r="B147" i="3"/>
  <c r="C146" i="3"/>
  <c r="B146" i="3"/>
  <c r="C145" i="3"/>
  <c r="B145" i="3"/>
  <c r="C144" i="3"/>
  <c r="B144" i="3"/>
  <c r="C143" i="3"/>
  <c r="B143" i="3"/>
  <c r="C142" i="3"/>
  <c r="B142" i="3"/>
  <c r="C141" i="3"/>
  <c r="B141" i="3"/>
  <c r="C140" i="3"/>
  <c r="B140" i="3"/>
  <c r="D139" i="3"/>
  <c r="C139" i="3"/>
  <c r="B139" i="3"/>
  <c r="C138" i="3"/>
  <c r="B138" i="3"/>
  <c r="D137" i="3"/>
  <c r="C137" i="3"/>
  <c r="B137" i="3"/>
  <c r="C136" i="3"/>
  <c r="B136" i="3"/>
  <c r="C135" i="3"/>
  <c r="B135" i="3"/>
  <c r="C134" i="3"/>
  <c r="B134" i="3"/>
  <c r="C133" i="3"/>
  <c r="B133" i="3"/>
  <c r="C132" i="3"/>
  <c r="B132" i="3"/>
  <c r="C131" i="3"/>
  <c r="B131" i="3"/>
  <c r="C130" i="3"/>
  <c r="B130" i="3"/>
  <c r="C129" i="3"/>
  <c r="B129" i="3"/>
  <c r="C128" i="3"/>
  <c r="B128" i="3"/>
  <c r="C127" i="3"/>
  <c r="B127" i="3"/>
  <c r="C126" i="3"/>
  <c r="B126" i="3"/>
  <c r="C125" i="3"/>
  <c r="B125" i="3"/>
  <c r="C124" i="3"/>
  <c r="B124" i="3"/>
  <c r="C123" i="3"/>
  <c r="B123" i="3"/>
  <c r="C122" i="3"/>
  <c r="B122" i="3"/>
  <c r="C121" i="3"/>
  <c r="B121" i="3"/>
  <c r="C120" i="3"/>
  <c r="B120" i="3"/>
  <c r="C119" i="3"/>
  <c r="B119" i="3"/>
  <c r="C118" i="3"/>
  <c r="B118" i="3"/>
  <c r="C117" i="3"/>
  <c r="B117" i="3"/>
  <c r="C116" i="3"/>
  <c r="B116" i="3"/>
  <c r="C115" i="3"/>
  <c r="B115" i="3"/>
  <c r="C114" i="3"/>
  <c r="B114" i="3"/>
  <c r="C113" i="3"/>
  <c r="B113" i="3"/>
  <c r="C112" i="3"/>
  <c r="B112" i="3"/>
  <c r="C111" i="3"/>
  <c r="B111" i="3"/>
  <c r="C110" i="3"/>
  <c r="B110" i="3"/>
  <c r="E109" i="3"/>
  <c r="D109" i="3"/>
  <c r="C109" i="3"/>
  <c r="B109" i="3"/>
  <c r="D108" i="3"/>
  <c r="C108" i="3"/>
  <c r="B108" i="3"/>
  <c r="C107" i="3"/>
  <c r="B107" i="3"/>
  <c r="C106" i="3"/>
  <c r="B106" i="3"/>
  <c r="C105" i="3"/>
  <c r="B105" i="3"/>
  <c r="C104" i="3"/>
  <c r="B104" i="3"/>
  <c r="C103" i="3"/>
  <c r="B103" i="3"/>
  <c r="C102" i="3"/>
  <c r="B102" i="3"/>
  <c r="C101" i="3"/>
  <c r="B101" i="3"/>
  <c r="C100" i="3"/>
  <c r="B100" i="3"/>
  <c r="C99" i="3"/>
  <c r="B99" i="3"/>
  <c r="C98" i="3"/>
  <c r="B98" i="3"/>
  <c r="C97" i="3"/>
  <c r="B97" i="3"/>
  <c r="C96" i="3"/>
  <c r="B96" i="3"/>
  <c r="C95" i="3"/>
  <c r="B95" i="3"/>
  <c r="C94" i="3"/>
  <c r="B94" i="3"/>
  <c r="C93" i="3"/>
  <c r="B93" i="3"/>
  <c r="C92" i="3"/>
  <c r="B92" i="3"/>
  <c r="C91" i="3"/>
  <c r="B91" i="3"/>
  <c r="C90" i="3"/>
  <c r="B90" i="3"/>
  <c r="C89" i="3"/>
  <c r="B89" i="3"/>
  <c r="C88" i="3"/>
  <c r="B88" i="3"/>
  <c r="C87" i="3"/>
  <c r="B87" i="3"/>
  <c r="C86" i="3"/>
  <c r="B86" i="3"/>
  <c r="C85" i="3"/>
  <c r="B85" i="3"/>
  <c r="C84" i="3"/>
  <c r="B84" i="3"/>
  <c r="C83" i="3"/>
  <c r="B83" i="3"/>
  <c r="D82" i="3"/>
  <c r="C82" i="3"/>
  <c r="B82" i="3"/>
  <c r="C81" i="3"/>
  <c r="B81" i="3"/>
  <c r="C80" i="3"/>
  <c r="B80" i="3"/>
  <c r="C79" i="3"/>
  <c r="B79" i="3"/>
  <c r="E78" i="3"/>
  <c r="D78" i="3"/>
  <c r="C78" i="3"/>
  <c r="B78" i="3"/>
  <c r="C77" i="3"/>
  <c r="B77" i="3"/>
  <c r="C76" i="3"/>
  <c r="B76" i="3"/>
  <c r="C75" i="3"/>
  <c r="B75" i="3"/>
  <c r="C74" i="3"/>
  <c r="B74" i="3"/>
  <c r="C73" i="3"/>
  <c r="B73" i="3"/>
  <c r="C72" i="3"/>
  <c r="B72" i="3"/>
  <c r="E71" i="3"/>
  <c r="D71" i="3"/>
  <c r="C71" i="3"/>
  <c r="B71" i="3"/>
  <c r="C70" i="3"/>
  <c r="B70" i="3"/>
  <c r="C69" i="3"/>
  <c r="B69" i="3"/>
  <c r="C68" i="3"/>
  <c r="B68" i="3"/>
  <c r="C67" i="3"/>
  <c r="B67" i="3"/>
  <c r="C66" i="3"/>
  <c r="B66" i="3"/>
  <c r="E65" i="3"/>
  <c r="D65" i="3"/>
  <c r="C65" i="3"/>
  <c r="B65" i="3"/>
  <c r="C64" i="3"/>
  <c r="B64" i="3"/>
  <c r="C63" i="3"/>
  <c r="B63" i="3"/>
  <c r="C62" i="3"/>
  <c r="B62" i="3"/>
  <c r="C61" i="3"/>
  <c r="B61" i="3"/>
  <c r="C60" i="3"/>
  <c r="B60" i="3"/>
  <c r="C59" i="3"/>
  <c r="B59" i="3"/>
  <c r="C58" i="3"/>
  <c r="B58" i="3"/>
  <c r="C57" i="3"/>
  <c r="B57" i="3"/>
  <c r="C56" i="3"/>
  <c r="B56" i="3"/>
  <c r="C55" i="3"/>
  <c r="B55" i="3"/>
  <c r="C54" i="3"/>
  <c r="B54" i="3"/>
  <c r="C53" i="3"/>
  <c r="B53" i="3"/>
  <c r="C52" i="3"/>
  <c r="B52" i="3"/>
  <c r="C51" i="3"/>
  <c r="B51" i="3"/>
  <c r="C50" i="3"/>
  <c r="B50" i="3"/>
  <c r="C49" i="3"/>
  <c r="B49" i="3"/>
  <c r="C48" i="3"/>
  <c r="B48" i="3"/>
  <c r="C47" i="3"/>
  <c r="B47" i="3"/>
  <c r="C46" i="3"/>
  <c r="B46" i="3"/>
  <c r="C45" i="3"/>
  <c r="B45" i="3"/>
  <c r="C44" i="3"/>
  <c r="B44" i="3"/>
  <c r="C43" i="3"/>
  <c r="B43" i="3"/>
  <c r="D42" i="3"/>
  <c r="C42" i="3"/>
  <c r="B42" i="3"/>
  <c r="D41" i="3"/>
  <c r="C41" i="3"/>
  <c r="B41" i="3"/>
  <c r="C40" i="3"/>
  <c r="B40" i="3"/>
  <c r="C39" i="3"/>
  <c r="B39" i="3"/>
  <c r="C38" i="3"/>
  <c r="B38" i="3"/>
  <c r="C37" i="3"/>
  <c r="B37" i="3"/>
  <c r="C36" i="3"/>
  <c r="B36" i="3"/>
  <c r="C35" i="3"/>
  <c r="B35" i="3"/>
  <c r="D34" i="3"/>
  <c r="C34" i="3"/>
  <c r="B34" i="3"/>
  <c r="C33" i="3"/>
  <c r="B33" i="3"/>
  <c r="C32" i="3"/>
  <c r="B32" i="3"/>
  <c r="C31" i="3"/>
  <c r="B31" i="3"/>
  <c r="C30" i="3"/>
  <c r="B30" i="3"/>
  <c r="C29" i="3"/>
  <c r="B29" i="3"/>
  <c r="C28" i="3"/>
  <c r="B28" i="3"/>
  <c r="C27" i="3"/>
  <c r="B27" i="3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C19" i="3"/>
  <c r="B19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C6" i="3"/>
  <c r="B6" i="3"/>
  <c r="E5" i="3"/>
  <c r="D5" i="3"/>
  <c r="C5" i="3"/>
  <c r="B5" i="3"/>
  <c r="C4" i="3"/>
  <c r="B4" i="3"/>
  <c r="C3" i="3"/>
  <c r="B3" i="3"/>
  <c r="C2" i="3"/>
  <c r="B2" i="3"/>
  <c r="C749" i="1" l="1"/>
  <c r="B749" i="1"/>
  <c r="C748" i="1"/>
  <c r="B748" i="1"/>
  <c r="C747" i="1"/>
  <c r="B747" i="1"/>
  <c r="C746" i="1"/>
  <c r="B746" i="1"/>
  <c r="C745" i="1"/>
  <c r="B745" i="1"/>
  <c r="C744" i="1"/>
  <c r="B744" i="1"/>
  <c r="D743" i="1"/>
  <c r="C743" i="1"/>
  <c r="B743" i="1"/>
  <c r="C742" i="1"/>
  <c r="B742" i="1"/>
  <c r="C741" i="1"/>
  <c r="B741" i="1"/>
  <c r="C740" i="1"/>
  <c r="B740" i="1"/>
  <c r="C739" i="1"/>
  <c r="B739" i="1"/>
  <c r="C738" i="1"/>
  <c r="B738" i="1"/>
  <c r="D737" i="1"/>
  <c r="C737" i="1"/>
  <c r="B737" i="1"/>
  <c r="C736" i="1"/>
  <c r="B736" i="1"/>
  <c r="C735" i="1"/>
  <c r="B735" i="1"/>
  <c r="C734" i="1"/>
  <c r="B734" i="1"/>
  <c r="C733" i="1"/>
  <c r="B733" i="1"/>
  <c r="C732" i="1"/>
  <c r="B732" i="1"/>
  <c r="D731" i="1"/>
  <c r="C731" i="1"/>
  <c r="B731" i="1"/>
  <c r="C730" i="1"/>
  <c r="B730" i="1"/>
  <c r="C729" i="1"/>
  <c r="B729" i="1"/>
  <c r="C728" i="1"/>
  <c r="B728" i="1"/>
  <c r="C727" i="1"/>
  <c r="B727" i="1"/>
  <c r="C726" i="1"/>
  <c r="B726" i="1"/>
  <c r="C725" i="1"/>
  <c r="B725" i="1"/>
  <c r="C724" i="1"/>
  <c r="B724" i="1"/>
  <c r="C723" i="1"/>
  <c r="B723" i="1"/>
  <c r="C722" i="1"/>
  <c r="B722" i="1"/>
  <c r="C721" i="1"/>
  <c r="B721" i="1"/>
  <c r="C720" i="1"/>
  <c r="B720" i="1"/>
  <c r="C719" i="1"/>
  <c r="B719" i="1"/>
  <c r="C718" i="1"/>
  <c r="B718" i="1"/>
  <c r="C717" i="1"/>
  <c r="B717" i="1"/>
  <c r="C716" i="1"/>
  <c r="B716" i="1"/>
  <c r="C715" i="1"/>
  <c r="B715" i="1"/>
  <c r="C714" i="1"/>
  <c r="B714" i="1"/>
  <c r="C713" i="1"/>
  <c r="B713" i="1"/>
  <c r="C712" i="1"/>
  <c r="B712" i="1"/>
  <c r="D711" i="1"/>
  <c r="C711" i="1"/>
  <c r="B711" i="1"/>
  <c r="C710" i="1"/>
  <c r="B710" i="1"/>
  <c r="C709" i="1"/>
  <c r="B709" i="1"/>
  <c r="C708" i="1"/>
  <c r="B708" i="1"/>
  <c r="C707" i="1"/>
  <c r="B707" i="1"/>
  <c r="E706" i="1"/>
  <c r="D706" i="1"/>
  <c r="C706" i="1"/>
  <c r="B706" i="1"/>
  <c r="C705" i="1"/>
  <c r="B705" i="1"/>
  <c r="C704" i="1"/>
  <c r="B704" i="1"/>
  <c r="C703" i="1"/>
  <c r="B703" i="1"/>
  <c r="C702" i="1"/>
  <c r="B702" i="1"/>
  <c r="C701" i="1"/>
  <c r="B701" i="1"/>
  <c r="D700" i="1"/>
  <c r="C700" i="1"/>
  <c r="B700" i="1"/>
  <c r="C699" i="1"/>
  <c r="B699" i="1"/>
  <c r="C698" i="1"/>
  <c r="B698" i="1"/>
  <c r="C697" i="1"/>
  <c r="B697" i="1"/>
  <c r="C696" i="1"/>
  <c r="B696" i="1"/>
  <c r="D695" i="1"/>
  <c r="C695" i="1"/>
  <c r="B695" i="1"/>
  <c r="C694" i="1"/>
  <c r="B694" i="1"/>
  <c r="C693" i="1"/>
  <c r="B693" i="1"/>
  <c r="C692" i="1"/>
  <c r="B692" i="1"/>
  <c r="C691" i="1"/>
  <c r="B691" i="1"/>
  <c r="C690" i="1"/>
  <c r="B690" i="1"/>
  <c r="C689" i="1"/>
  <c r="B689" i="1"/>
  <c r="C688" i="1"/>
  <c r="B688" i="1"/>
  <c r="C687" i="1"/>
  <c r="B687" i="1"/>
  <c r="C686" i="1"/>
  <c r="B686" i="1"/>
  <c r="C685" i="1"/>
  <c r="B685" i="1"/>
  <c r="C684" i="1"/>
  <c r="B684" i="1"/>
  <c r="C683" i="1"/>
  <c r="B683" i="1"/>
  <c r="C682" i="1"/>
  <c r="B682" i="1"/>
  <c r="C681" i="1"/>
  <c r="B681" i="1"/>
  <c r="C680" i="1"/>
  <c r="B680" i="1"/>
  <c r="C679" i="1"/>
  <c r="B679" i="1"/>
  <c r="C678" i="1"/>
  <c r="B678" i="1"/>
  <c r="C677" i="1"/>
  <c r="B677" i="1"/>
  <c r="C676" i="1"/>
  <c r="B676" i="1"/>
  <c r="C675" i="1"/>
  <c r="B675" i="1"/>
  <c r="C674" i="1"/>
  <c r="B674" i="1"/>
  <c r="C673" i="1"/>
  <c r="B673" i="1"/>
  <c r="E672" i="1"/>
  <c r="D672" i="1"/>
  <c r="C672" i="1"/>
  <c r="B672" i="1"/>
  <c r="C671" i="1"/>
  <c r="B671" i="1"/>
  <c r="C670" i="1"/>
  <c r="B670" i="1"/>
  <c r="C669" i="1"/>
  <c r="B669" i="1"/>
  <c r="D668" i="1"/>
  <c r="C668" i="1"/>
  <c r="B668" i="1"/>
  <c r="F667" i="1"/>
  <c r="E667" i="1"/>
  <c r="D667" i="1"/>
  <c r="C667" i="1"/>
  <c r="B667" i="1"/>
  <c r="C666" i="1"/>
  <c r="B666" i="1"/>
  <c r="C665" i="1"/>
  <c r="B665" i="1"/>
  <c r="C664" i="1"/>
  <c r="B664" i="1"/>
  <c r="C663" i="1"/>
  <c r="B663" i="1"/>
  <c r="C662" i="1"/>
  <c r="B662" i="1"/>
  <c r="C661" i="1"/>
  <c r="B661" i="1"/>
  <c r="C660" i="1"/>
  <c r="B660" i="1"/>
  <c r="C659" i="1"/>
  <c r="B659" i="1"/>
  <c r="C658" i="1"/>
  <c r="B658" i="1"/>
  <c r="C657" i="1"/>
  <c r="B657" i="1"/>
  <c r="D656" i="1"/>
  <c r="C656" i="1"/>
  <c r="B656" i="1"/>
  <c r="C655" i="1"/>
  <c r="B655" i="1"/>
  <c r="C654" i="1"/>
  <c r="B654" i="1"/>
  <c r="C653" i="1"/>
  <c r="B653" i="1"/>
  <c r="C652" i="1"/>
  <c r="B652" i="1"/>
  <c r="C651" i="1"/>
  <c r="B651" i="1"/>
  <c r="D650" i="1"/>
  <c r="C650" i="1"/>
  <c r="B650" i="1"/>
  <c r="C649" i="1"/>
  <c r="B649" i="1"/>
  <c r="C648" i="1"/>
  <c r="B648" i="1"/>
  <c r="C647" i="1"/>
  <c r="B647" i="1"/>
  <c r="C646" i="1"/>
  <c r="B646" i="1"/>
  <c r="C645" i="1"/>
  <c r="B645" i="1"/>
  <c r="D644" i="1"/>
  <c r="C644" i="1"/>
  <c r="B644" i="1"/>
  <c r="C643" i="1"/>
  <c r="B643" i="1"/>
  <c r="C642" i="1"/>
  <c r="B642" i="1"/>
  <c r="C641" i="1"/>
  <c r="B641" i="1"/>
  <c r="C640" i="1"/>
  <c r="B640" i="1"/>
  <c r="C639" i="1"/>
  <c r="B639" i="1"/>
  <c r="C638" i="1"/>
  <c r="B638" i="1"/>
  <c r="C637" i="1"/>
  <c r="B637" i="1"/>
  <c r="C636" i="1"/>
  <c r="B636" i="1"/>
  <c r="C635" i="1"/>
  <c r="B635" i="1"/>
  <c r="C634" i="1"/>
  <c r="B634" i="1"/>
  <c r="C633" i="1"/>
  <c r="B633" i="1"/>
  <c r="C632" i="1"/>
  <c r="B632" i="1"/>
  <c r="C631" i="1"/>
  <c r="B631" i="1"/>
  <c r="C630" i="1"/>
  <c r="B630" i="1"/>
  <c r="C629" i="1"/>
  <c r="B629" i="1"/>
  <c r="C628" i="1"/>
  <c r="B628" i="1"/>
  <c r="C627" i="1"/>
  <c r="B627" i="1"/>
  <c r="D626" i="1"/>
  <c r="C626" i="1"/>
  <c r="B626" i="1"/>
  <c r="C625" i="1"/>
  <c r="B625" i="1"/>
  <c r="C624" i="1"/>
  <c r="B624" i="1"/>
  <c r="C623" i="1"/>
  <c r="B623" i="1"/>
  <c r="C622" i="1"/>
  <c r="B622" i="1"/>
  <c r="C621" i="1"/>
  <c r="B621" i="1"/>
  <c r="C620" i="1"/>
  <c r="B620" i="1"/>
  <c r="C619" i="1"/>
  <c r="B619" i="1"/>
  <c r="C618" i="1"/>
  <c r="B618" i="1"/>
  <c r="C617" i="1"/>
  <c r="B617" i="1"/>
  <c r="C616" i="1"/>
  <c r="B616" i="1"/>
  <c r="C615" i="1"/>
  <c r="B615" i="1"/>
  <c r="C614" i="1"/>
  <c r="B614" i="1"/>
  <c r="C613" i="1"/>
  <c r="B613" i="1"/>
  <c r="C612" i="1"/>
  <c r="B612" i="1"/>
  <c r="D611" i="1"/>
  <c r="C611" i="1"/>
  <c r="B611" i="1"/>
  <c r="C610" i="1"/>
  <c r="B610" i="1"/>
  <c r="D609" i="1"/>
  <c r="C609" i="1"/>
  <c r="B609" i="1"/>
  <c r="C608" i="1"/>
  <c r="B608" i="1"/>
  <c r="C607" i="1"/>
  <c r="B607" i="1"/>
  <c r="C606" i="1"/>
  <c r="B606" i="1"/>
  <c r="C605" i="1"/>
  <c r="B605" i="1"/>
  <c r="C604" i="1"/>
  <c r="B604" i="1"/>
  <c r="C603" i="1"/>
  <c r="B603" i="1"/>
  <c r="C602" i="1"/>
  <c r="B602" i="1"/>
  <c r="C601" i="1"/>
  <c r="B601" i="1"/>
  <c r="C600" i="1"/>
  <c r="B600" i="1"/>
  <c r="C599" i="1"/>
  <c r="B599" i="1"/>
  <c r="C598" i="1"/>
  <c r="B598" i="1"/>
  <c r="C597" i="1"/>
  <c r="B597" i="1"/>
  <c r="C596" i="1"/>
  <c r="B596" i="1"/>
  <c r="C595" i="1"/>
  <c r="B595" i="1"/>
  <c r="C594" i="1"/>
  <c r="B594" i="1"/>
  <c r="C593" i="1"/>
  <c r="B593" i="1"/>
  <c r="C592" i="1"/>
  <c r="B592" i="1"/>
  <c r="C591" i="1"/>
  <c r="B591" i="1"/>
  <c r="C590" i="1"/>
  <c r="B590" i="1"/>
  <c r="C589" i="1"/>
  <c r="B589" i="1"/>
  <c r="C588" i="1"/>
  <c r="B588" i="1"/>
  <c r="C587" i="1"/>
  <c r="B587" i="1"/>
  <c r="C586" i="1"/>
  <c r="B586" i="1"/>
  <c r="C585" i="1"/>
  <c r="B585" i="1"/>
  <c r="C584" i="1"/>
  <c r="B584" i="1"/>
  <c r="C583" i="1"/>
  <c r="B583" i="1"/>
  <c r="D582" i="1"/>
  <c r="C582" i="1"/>
  <c r="B582" i="1"/>
  <c r="C581" i="1"/>
  <c r="B581" i="1"/>
  <c r="C580" i="1"/>
  <c r="B580" i="1"/>
  <c r="C579" i="1"/>
  <c r="B579" i="1"/>
  <c r="C578" i="1"/>
  <c r="B578" i="1"/>
  <c r="D577" i="1"/>
  <c r="C577" i="1"/>
  <c r="B577" i="1"/>
  <c r="C576" i="1"/>
  <c r="B576" i="1"/>
  <c r="C575" i="1"/>
  <c r="B575" i="1"/>
  <c r="C574" i="1"/>
  <c r="B574" i="1"/>
  <c r="C573" i="1"/>
  <c r="B573" i="1"/>
  <c r="C572" i="1"/>
  <c r="B572" i="1"/>
  <c r="C571" i="1"/>
  <c r="B571" i="1"/>
  <c r="C570" i="1"/>
  <c r="B570" i="1"/>
  <c r="E569" i="1"/>
  <c r="D569" i="1"/>
  <c r="C569" i="1"/>
  <c r="B569" i="1"/>
  <c r="D568" i="1"/>
  <c r="C568" i="1"/>
  <c r="B568" i="1"/>
  <c r="C567" i="1"/>
  <c r="B567" i="1"/>
  <c r="C566" i="1"/>
  <c r="B566" i="1"/>
  <c r="C565" i="1"/>
  <c r="B565" i="1"/>
  <c r="C564" i="1"/>
  <c r="B564" i="1"/>
  <c r="C563" i="1"/>
  <c r="B563" i="1"/>
  <c r="C562" i="1"/>
  <c r="B562" i="1"/>
  <c r="C561" i="1"/>
  <c r="B561" i="1"/>
  <c r="C560" i="1"/>
  <c r="B560" i="1"/>
  <c r="C559" i="1"/>
  <c r="B559" i="1"/>
  <c r="C558" i="1"/>
  <c r="B558" i="1"/>
  <c r="C557" i="1"/>
  <c r="B557" i="1"/>
  <c r="C556" i="1"/>
  <c r="B556" i="1"/>
  <c r="D555" i="1"/>
  <c r="C555" i="1"/>
  <c r="B555" i="1"/>
  <c r="C554" i="1"/>
  <c r="B554" i="1"/>
  <c r="C553" i="1"/>
  <c r="B553" i="1"/>
  <c r="C552" i="1"/>
  <c r="B552" i="1"/>
  <c r="C551" i="1"/>
  <c r="B551" i="1"/>
  <c r="C550" i="1"/>
  <c r="B550" i="1"/>
  <c r="C549" i="1"/>
  <c r="B549" i="1"/>
  <c r="C548" i="1"/>
  <c r="B548" i="1"/>
  <c r="C547" i="1"/>
  <c r="B547" i="1"/>
  <c r="C546" i="1"/>
  <c r="B546" i="1"/>
  <c r="C545" i="1"/>
  <c r="B545" i="1"/>
  <c r="C544" i="1"/>
  <c r="B544" i="1"/>
  <c r="C543" i="1"/>
  <c r="B543" i="1"/>
  <c r="C542" i="1"/>
  <c r="B542" i="1"/>
  <c r="C541" i="1"/>
  <c r="B541" i="1"/>
  <c r="C540" i="1"/>
  <c r="B540" i="1"/>
  <c r="C539" i="1"/>
  <c r="B539" i="1"/>
  <c r="C538" i="1"/>
  <c r="B538" i="1"/>
  <c r="C537" i="1"/>
  <c r="B537" i="1"/>
  <c r="C536" i="1"/>
  <c r="B536" i="1"/>
  <c r="C535" i="1"/>
  <c r="B535" i="1"/>
  <c r="C534" i="1"/>
  <c r="B534" i="1"/>
  <c r="C533" i="1"/>
  <c r="B533" i="1"/>
  <c r="C532" i="1"/>
  <c r="B532" i="1"/>
  <c r="E531" i="1"/>
  <c r="D531" i="1"/>
  <c r="C531" i="1"/>
  <c r="B531" i="1"/>
  <c r="D530" i="1"/>
  <c r="C530" i="1"/>
  <c r="B530" i="1"/>
  <c r="C529" i="1"/>
  <c r="B529" i="1"/>
  <c r="C528" i="1"/>
  <c r="B528" i="1"/>
  <c r="C527" i="1"/>
  <c r="B527" i="1"/>
  <c r="C526" i="1"/>
  <c r="B526" i="1"/>
  <c r="C525" i="1"/>
  <c r="B525" i="1"/>
  <c r="C524" i="1"/>
  <c r="B524" i="1"/>
  <c r="C523" i="1"/>
  <c r="B523" i="1"/>
  <c r="C522" i="1"/>
  <c r="B522" i="1"/>
  <c r="D521" i="1"/>
  <c r="C521" i="1"/>
  <c r="B521" i="1"/>
  <c r="C520" i="1"/>
  <c r="B520" i="1"/>
  <c r="C519" i="1"/>
  <c r="B519" i="1"/>
  <c r="D518" i="1"/>
  <c r="C518" i="1"/>
  <c r="B518" i="1"/>
  <c r="C517" i="1"/>
  <c r="B517" i="1"/>
  <c r="C516" i="1"/>
  <c r="B516" i="1"/>
  <c r="C515" i="1"/>
  <c r="B515" i="1"/>
  <c r="C514" i="1"/>
  <c r="B514" i="1"/>
  <c r="C513" i="1"/>
  <c r="B513" i="1"/>
  <c r="C512" i="1"/>
  <c r="B512" i="1"/>
  <c r="C511" i="1"/>
  <c r="B511" i="1"/>
  <c r="C510" i="1"/>
  <c r="B510" i="1"/>
  <c r="C509" i="1"/>
  <c r="B509" i="1"/>
  <c r="C508" i="1"/>
  <c r="B508" i="1"/>
  <c r="C507" i="1"/>
  <c r="B507" i="1"/>
  <c r="C506" i="1"/>
  <c r="B506" i="1"/>
  <c r="C505" i="1"/>
  <c r="B505" i="1"/>
  <c r="C504" i="1"/>
  <c r="B504" i="1"/>
  <c r="C503" i="1"/>
  <c r="B503" i="1"/>
  <c r="C502" i="1"/>
  <c r="B502" i="1"/>
  <c r="C501" i="1"/>
  <c r="B501" i="1"/>
  <c r="C500" i="1"/>
  <c r="B500" i="1"/>
  <c r="C499" i="1"/>
  <c r="B499" i="1"/>
  <c r="C498" i="1"/>
  <c r="B498" i="1"/>
  <c r="C497" i="1"/>
  <c r="B497" i="1"/>
  <c r="C496" i="1"/>
  <c r="B496" i="1"/>
  <c r="C495" i="1"/>
  <c r="B495" i="1"/>
  <c r="C494" i="1"/>
  <c r="B494" i="1"/>
  <c r="C493" i="1"/>
  <c r="B493" i="1"/>
  <c r="C492" i="1"/>
  <c r="B492" i="1"/>
  <c r="C491" i="1"/>
  <c r="B491" i="1"/>
  <c r="C490" i="1"/>
  <c r="B490" i="1"/>
  <c r="E489" i="1"/>
  <c r="D489" i="1"/>
  <c r="C489" i="1"/>
  <c r="B489" i="1"/>
  <c r="C488" i="1"/>
  <c r="B488" i="1"/>
  <c r="C487" i="1"/>
  <c r="B487" i="1"/>
  <c r="C486" i="1"/>
  <c r="B486" i="1"/>
  <c r="C485" i="1"/>
  <c r="B485" i="1"/>
  <c r="C484" i="1"/>
  <c r="B484" i="1"/>
  <c r="C483" i="1"/>
  <c r="B483" i="1"/>
  <c r="C482" i="1"/>
  <c r="B482" i="1"/>
  <c r="C481" i="1"/>
  <c r="B481" i="1"/>
  <c r="C480" i="1"/>
  <c r="B480" i="1"/>
  <c r="C479" i="1"/>
  <c r="B479" i="1"/>
  <c r="C478" i="1"/>
  <c r="B478" i="1"/>
  <c r="D477" i="1"/>
  <c r="C477" i="1"/>
  <c r="B477" i="1"/>
  <c r="C476" i="1"/>
  <c r="B476" i="1"/>
  <c r="C475" i="1"/>
  <c r="B475" i="1"/>
  <c r="C474" i="1"/>
  <c r="B474" i="1"/>
  <c r="C473" i="1"/>
  <c r="B473" i="1"/>
  <c r="C472" i="1"/>
  <c r="B472" i="1"/>
  <c r="C471" i="1"/>
  <c r="B471" i="1"/>
  <c r="C470" i="1"/>
  <c r="B470" i="1"/>
  <c r="C469" i="1"/>
  <c r="B469" i="1"/>
  <c r="C468" i="1"/>
  <c r="B468" i="1"/>
  <c r="C467" i="1"/>
  <c r="B467" i="1"/>
  <c r="C466" i="1"/>
  <c r="B466" i="1"/>
  <c r="C465" i="1"/>
  <c r="B465" i="1"/>
  <c r="C464" i="1"/>
  <c r="B464" i="1"/>
  <c r="C463" i="1"/>
  <c r="B463" i="1"/>
  <c r="C462" i="1"/>
  <c r="B462" i="1"/>
  <c r="C461" i="1"/>
  <c r="B461" i="1"/>
  <c r="C460" i="1"/>
  <c r="B460" i="1"/>
  <c r="C459" i="1"/>
  <c r="B459" i="1"/>
  <c r="E458" i="1"/>
  <c r="D458" i="1"/>
  <c r="C458" i="1"/>
  <c r="B458" i="1"/>
  <c r="C457" i="1"/>
  <c r="B457" i="1"/>
  <c r="C456" i="1"/>
  <c r="B456" i="1"/>
  <c r="C455" i="1"/>
  <c r="B455" i="1"/>
  <c r="C454" i="1"/>
  <c r="B454" i="1"/>
  <c r="C453" i="1"/>
  <c r="B453" i="1"/>
  <c r="C452" i="1"/>
  <c r="B452" i="1"/>
  <c r="C451" i="1"/>
  <c r="B451" i="1"/>
  <c r="C450" i="1"/>
  <c r="B450" i="1"/>
  <c r="C449" i="1"/>
  <c r="B449" i="1"/>
  <c r="C448" i="1"/>
  <c r="B448" i="1"/>
  <c r="C447" i="1"/>
  <c r="B447" i="1"/>
  <c r="C446" i="1"/>
  <c r="B446" i="1"/>
  <c r="C445" i="1"/>
  <c r="B445" i="1"/>
  <c r="C444" i="1"/>
  <c r="B444" i="1"/>
  <c r="C443" i="1"/>
  <c r="B443" i="1"/>
  <c r="C442" i="1"/>
  <c r="B442" i="1"/>
  <c r="C441" i="1"/>
  <c r="B441" i="1"/>
  <c r="C440" i="1"/>
  <c r="B440" i="1"/>
  <c r="C439" i="1"/>
  <c r="B439" i="1"/>
  <c r="C438" i="1"/>
  <c r="B438" i="1"/>
  <c r="C437" i="1"/>
  <c r="B437" i="1"/>
  <c r="C436" i="1"/>
  <c r="B436" i="1"/>
  <c r="C435" i="1"/>
  <c r="B435" i="1"/>
  <c r="C434" i="1"/>
  <c r="B434" i="1"/>
  <c r="D433" i="1"/>
  <c r="C433" i="1"/>
  <c r="B433" i="1"/>
  <c r="C432" i="1"/>
  <c r="B432" i="1"/>
  <c r="C431" i="1"/>
  <c r="B431" i="1"/>
  <c r="D430" i="1"/>
  <c r="C430" i="1"/>
  <c r="B430" i="1"/>
  <c r="C429" i="1"/>
  <c r="B429" i="1"/>
  <c r="C428" i="1"/>
  <c r="B428" i="1"/>
  <c r="C427" i="1"/>
  <c r="B427" i="1"/>
  <c r="C426" i="1"/>
  <c r="B426" i="1"/>
  <c r="C425" i="1"/>
  <c r="B425" i="1"/>
  <c r="C424" i="1"/>
  <c r="B424" i="1"/>
  <c r="C423" i="1"/>
  <c r="B423" i="1"/>
  <c r="C422" i="1"/>
  <c r="B422" i="1"/>
  <c r="C421" i="1"/>
  <c r="B421" i="1"/>
  <c r="C420" i="1"/>
  <c r="B420" i="1"/>
  <c r="C419" i="1"/>
  <c r="B419" i="1"/>
  <c r="C418" i="1"/>
  <c r="B418" i="1"/>
  <c r="C417" i="1"/>
  <c r="B417" i="1"/>
  <c r="C416" i="1"/>
  <c r="B416" i="1"/>
  <c r="C415" i="1"/>
  <c r="B415" i="1"/>
  <c r="D414" i="1"/>
  <c r="C414" i="1"/>
  <c r="B414" i="1"/>
  <c r="C413" i="1"/>
  <c r="B413" i="1"/>
  <c r="F412" i="1"/>
  <c r="E412" i="1"/>
  <c r="D412" i="1"/>
  <c r="C412" i="1"/>
  <c r="B412" i="1"/>
  <c r="C411" i="1"/>
  <c r="B411" i="1"/>
  <c r="C410" i="1"/>
  <c r="B410" i="1"/>
  <c r="C409" i="1"/>
  <c r="B409" i="1"/>
  <c r="C408" i="1"/>
  <c r="B408" i="1"/>
  <c r="C407" i="1"/>
  <c r="B407" i="1"/>
  <c r="C406" i="1"/>
  <c r="B406" i="1"/>
  <c r="C405" i="1"/>
  <c r="B405" i="1"/>
  <c r="D404" i="1"/>
  <c r="C404" i="1"/>
  <c r="B404" i="1"/>
  <c r="C403" i="1"/>
  <c r="B403" i="1"/>
  <c r="D402" i="1"/>
  <c r="C402" i="1"/>
  <c r="B402" i="1"/>
  <c r="C401" i="1"/>
  <c r="B401" i="1"/>
  <c r="C400" i="1"/>
  <c r="B400" i="1"/>
  <c r="C399" i="1"/>
  <c r="B399" i="1"/>
  <c r="C398" i="1"/>
  <c r="B398" i="1"/>
  <c r="C397" i="1"/>
  <c r="B397" i="1"/>
  <c r="C396" i="1"/>
  <c r="B396" i="1"/>
  <c r="C395" i="1"/>
  <c r="B395" i="1"/>
  <c r="C394" i="1"/>
  <c r="B394" i="1"/>
  <c r="C393" i="1"/>
  <c r="B393" i="1"/>
  <c r="C392" i="1"/>
  <c r="B392" i="1"/>
  <c r="C391" i="1"/>
  <c r="B391" i="1"/>
  <c r="C390" i="1"/>
  <c r="B390" i="1"/>
  <c r="C389" i="1"/>
  <c r="B389" i="1"/>
  <c r="D388" i="1"/>
  <c r="C388" i="1"/>
  <c r="B388" i="1"/>
  <c r="C387" i="1"/>
  <c r="B387" i="1"/>
  <c r="C386" i="1"/>
  <c r="B386" i="1"/>
  <c r="C385" i="1"/>
  <c r="B385" i="1"/>
  <c r="C384" i="1"/>
  <c r="B384" i="1"/>
  <c r="D383" i="1"/>
  <c r="C383" i="1"/>
  <c r="B383" i="1"/>
  <c r="C382" i="1"/>
  <c r="B382" i="1"/>
  <c r="E381" i="1"/>
  <c r="D381" i="1"/>
  <c r="C381" i="1"/>
  <c r="B381" i="1"/>
  <c r="C380" i="1"/>
  <c r="B380" i="1"/>
  <c r="C379" i="1"/>
  <c r="B379" i="1"/>
  <c r="C378" i="1"/>
  <c r="B378" i="1"/>
  <c r="C377" i="1"/>
  <c r="B377" i="1"/>
  <c r="C376" i="1"/>
  <c r="B376" i="1"/>
  <c r="C375" i="1"/>
  <c r="B375" i="1"/>
  <c r="C374" i="1"/>
  <c r="B374" i="1"/>
  <c r="C373" i="1"/>
  <c r="B373" i="1"/>
  <c r="C372" i="1"/>
  <c r="B372" i="1"/>
  <c r="C371" i="1"/>
  <c r="B371" i="1"/>
  <c r="C370" i="1"/>
  <c r="B370" i="1"/>
  <c r="C369" i="1"/>
  <c r="B369" i="1"/>
  <c r="C368" i="1"/>
  <c r="B368" i="1"/>
  <c r="C367" i="1"/>
  <c r="B367" i="1"/>
  <c r="E366" i="1"/>
  <c r="D366" i="1"/>
  <c r="C366" i="1"/>
  <c r="B366" i="1"/>
  <c r="C365" i="1"/>
  <c r="B365" i="1"/>
  <c r="C364" i="1"/>
  <c r="B364" i="1"/>
  <c r="C363" i="1"/>
  <c r="B363" i="1"/>
  <c r="C362" i="1"/>
  <c r="B362" i="1"/>
  <c r="C361" i="1"/>
  <c r="B361" i="1"/>
  <c r="C360" i="1"/>
  <c r="B360" i="1"/>
  <c r="C359" i="1"/>
  <c r="B359" i="1"/>
  <c r="D358" i="1"/>
  <c r="C358" i="1"/>
  <c r="B358" i="1"/>
  <c r="B357" i="1"/>
  <c r="B356" i="1"/>
  <c r="C355" i="1"/>
  <c r="B355" i="1"/>
  <c r="C354" i="1"/>
  <c r="B354" i="1"/>
  <c r="C353" i="1"/>
  <c r="B353" i="1"/>
  <c r="C352" i="1"/>
  <c r="B352" i="1"/>
  <c r="C351" i="1"/>
  <c r="B351" i="1"/>
  <c r="D350" i="1"/>
  <c r="C350" i="1"/>
  <c r="B350" i="1"/>
  <c r="D349" i="1"/>
  <c r="C349" i="1"/>
  <c r="B349" i="1"/>
  <c r="C348" i="1"/>
  <c r="B348" i="1"/>
  <c r="C347" i="1"/>
  <c r="B347" i="1"/>
  <c r="C346" i="1"/>
  <c r="B346" i="1"/>
  <c r="C345" i="1"/>
  <c r="B345" i="1"/>
  <c r="C344" i="1"/>
  <c r="B344" i="1"/>
  <c r="C343" i="1"/>
  <c r="B343" i="1"/>
  <c r="C342" i="1"/>
  <c r="B342" i="1"/>
  <c r="D341" i="1"/>
  <c r="C341" i="1"/>
  <c r="B341" i="1"/>
  <c r="C340" i="1"/>
  <c r="B340" i="1"/>
  <c r="C339" i="1"/>
  <c r="B339" i="1"/>
  <c r="C338" i="1"/>
  <c r="B338" i="1"/>
  <c r="C337" i="1"/>
  <c r="B337" i="1"/>
  <c r="C336" i="1"/>
  <c r="B336" i="1"/>
  <c r="C335" i="1"/>
  <c r="B335" i="1"/>
  <c r="E334" i="1"/>
  <c r="D334" i="1"/>
  <c r="C334" i="1"/>
  <c r="B334" i="1"/>
  <c r="C333" i="1"/>
  <c r="B333" i="1"/>
  <c r="C332" i="1"/>
  <c r="B332" i="1"/>
  <c r="C331" i="1"/>
  <c r="B331" i="1"/>
  <c r="C330" i="1"/>
  <c r="B330" i="1"/>
  <c r="D329" i="1"/>
  <c r="C329" i="1"/>
  <c r="B329" i="1"/>
  <c r="C328" i="1"/>
  <c r="B328" i="1"/>
  <c r="C327" i="1"/>
  <c r="B327" i="1"/>
  <c r="C326" i="1"/>
  <c r="B326" i="1"/>
  <c r="E325" i="1"/>
  <c r="D325" i="1"/>
  <c r="C325" i="1"/>
  <c r="B325" i="1"/>
  <c r="D324" i="1"/>
  <c r="C324" i="1"/>
  <c r="B324" i="1"/>
  <c r="C323" i="1"/>
  <c r="B323" i="1"/>
  <c r="D322" i="1"/>
  <c r="C322" i="1"/>
  <c r="B322" i="1"/>
  <c r="D321" i="1"/>
  <c r="C321" i="1"/>
  <c r="B321" i="1"/>
  <c r="C320" i="1"/>
  <c r="B320" i="1"/>
  <c r="G319" i="1"/>
  <c r="F319" i="1"/>
  <c r="E319" i="1"/>
  <c r="D319" i="1"/>
  <c r="C319" i="1"/>
  <c r="B319" i="1"/>
  <c r="C318" i="1"/>
  <c r="B318" i="1"/>
  <c r="C317" i="1"/>
  <c r="B317" i="1"/>
  <c r="C316" i="1"/>
  <c r="B316" i="1"/>
  <c r="C315" i="1"/>
  <c r="B315" i="1"/>
  <c r="C314" i="1"/>
  <c r="B314" i="1"/>
  <c r="C313" i="1"/>
  <c r="B313" i="1"/>
  <c r="C312" i="1"/>
  <c r="B312" i="1"/>
  <c r="C311" i="1"/>
  <c r="B311" i="1"/>
  <c r="C310" i="1"/>
  <c r="B310" i="1"/>
  <c r="C309" i="1"/>
  <c r="B309" i="1"/>
  <c r="C308" i="1"/>
  <c r="B308" i="1"/>
  <c r="C307" i="1"/>
  <c r="B307" i="1"/>
  <c r="C306" i="1"/>
  <c r="B306" i="1"/>
  <c r="C305" i="1"/>
  <c r="B305" i="1"/>
  <c r="C304" i="1"/>
  <c r="B304" i="1"/>
  <c r="C303" i="1"/>
  <c r="B303" i="1"/>
  <c r="D302" i="1"/>
  <c r="C302" i="1"/>
  <c r="B302" i="1"/>
  <c r="C301" i="1"/>
  <c r="B301" i="1"/>
  <c r="C300" i="1"/>
  <c r="B300" i="1"/>
  <c r="C299" i="1"/>
  <c r="B299" i="1"/>
  <c r="C298" i="1"/>
  <c r="B298" i="1"/>
  <c r="C297" i="1"/>
  <c r="B297" i="1"/>
  <c r="C296" i="1"/>
  <c r="B296" i="1"/>
  <c r="C295" i="1"/>
  <c r="B295" i="1"/>
  <c r="C294" i="1"/>
  <c r="B294" i="1"/>
  <c r="C293" i="1"/>
  <c r="B293" i="1"/>
  <c r="C292" i="1"/>
  <c r="B292" i="1"/>
  <c r="C291" i="1"/>
  <c r="B291" i="1"/>
  <c r="C290" i="1"/>
  <c r="B290" i="1"/>
  <c r="C289" i="1"/>
  <c r="B289" i="1"/>
  <c r="C288" i="1"/>
  <c r="B288" i="1"/>
  <c r="C287" i="1"/>
  <c r="B287" i="1"/>
  <c r="C286" i="1"/>
  <c r="B286" i="1"/>
  <c r="C285" i="1"/>
  <c r="B285" i="1"/>
  <c r="C284" i="1"/>
  <c r="B284" i="1"/>
  <c r="C283" i="1"/>
  <c r="B283" i="1"/>
  <c r="C282" i="1"/>
  <c r="B282" i="1"/>
  <c r="C281" i="1"/>
  <c r="B281" i="1"/>
  <c r="C280" i="1"/>
  <c r="B280" i="1"/>
  <c r="C279" i="1"/>
  <c r="B279" i="1"/>
  <c r="C278" i="1"/>
  <c r="B278" i="1"/>
  <c r="C277" i="1"/>
  <c r="B277" i="1"/>
  <c r="C276" i="1"/>
  <c r="B276" i="1"/>
  <c r="D275" i="1"/>
  <c r="C275" i="1"/>
  <c r="B275" i="1"/>
  <c r="C274" i="1"/>
  <c r="B274" i="1"/>
  <c r="C273" i="1"/>
  <c r="B273" i="1"/>
  <c r="D272" i="1"/>
  <c r="C272" i="1"/>
  <c r="B272" i="1"/>
  <c r="C271" i="1"/>
  <c r="B271" i="1"/>
  <c r="C270" i="1"/>
  <c r="B270" i="1"/>
  <c r="C269" i="1"/>
  <c r="B269" i="1"/>
  <c r="C268" i="1"/>
  <c r="B268" i="1"/>
  <c r="C267" i="1"/>
  <c r="B267" i="1"/>
  <c r="C266" i="1"/>
  <c r="B266" i="1"/>
  <c r="C265" i="1"/>
  <c r="B265" i="1"/>
  <c r="C264" i="1"/>
  <c r="B264" i="1"/>
  <c r="D263" i="1"/>
  <c r="C263" i="1"/>
  <c r="B263" i="1"/>
  <c r="C262" i="1"/>
  <c r="B262" i="1"/>
  <c r="D261" i="1"/>
  <c r="C261" i="1"/>
  <c r="B261" i="1"/>
  <c r="C260" i="1"/>
  <c r="B260" i="1"/>
  <c r="C259" i="1"/>
  <c r="B259" i="1"/>
  <c r="C258" i="1"/>
  <c r="B258" i="1"/>
  <c r="C257" i="1"/>
  <c r="B257" i="1"/>
  <c r="C256" i="1"/>
  <c r="B256" i="1"/>
  <c r="C255" i="1"/>
  <c r="B255" i="1"/>
  <c r="E254" i="1"/>
  <c r="D254" i="1"/>
  <c r="C254" i="1"/>
  <c r="B254" i="1"/>
  <c r="D253" i="1"/>
  <c r="C253" i="1"/>
  <c r="B253" i="1"/>
  <c r="D252" i="1"/>
  <c r="C252" i="1"/>
  <c r="B252" i="1"/>
  <c r="D251" i="1"/>
  <c r="C251" i="1"/>
  <c r="B251" i="1"/>
  <c r="C250" i="1"/>
  <c r="B250" i="1"/>
  <c r="C249" i="1"/>
  <c r="B249" i="1"/>
  <c r="C248" i="1"/>
  <c r="B248" i="1"/>
  <c r="C247" i="1"/>
  <c r="B247" i="1"/>
  <c r="C246" i="1"/>
  <c r="B246" i="1"/>
  <c r="C245" i="1"/>
  <c r="B245" i="1"/>
  <c r="C244" i="1"/>
  <c r="B244" i="1"/>
  <c r="C243" i="1"/>
  <c r="B243" i="1"/>
  <c r="C242" i="1"/>
  <c r="B242" i="1"/>
  <c r="C241" i="1"/>
  <c r="B241" i="1"/>
  <c r="C240" i="1"/>
  <c r="B240" i="1"/>
  <c r="C239" i="1"/>
  <c r="B239" i="1"/>
  <c r="C238" i="1"/>
  <c r="B238" i="1"/>
  <c r="C237" i="1"/>
  <c r="B237" i="1"/>
  <c r="C236" i="1"/>
  <c r="B236" i="1"/>
  <c r="C235" i="1"/>
  <c r="B235" i="1"/>
  <c r="C234" i="1"/>
  <c r="B234" i="1"/>
  <c r="C233" i="1"/>
  <c r="B233" i="1"/>
  <c r="C232" i="1"/>
  <c r="B232" i="1"/>
  <c r="C231" i="1"/>
  <c r="B231" i="1"/>
  <c r="C230" i="1"/>
  <c r="B230" i="1"/>
  <c r="C229" i="1"/>
  <c r="B229" i="1"/>
  <c r="C228" i="1"/>
  <c r="B228" i="1"/>
  <c r="C227" i="1"/>
  <c r="B227" i="1"/>
  <c r="C226" i="1"/>
  <c r="B226" i="1"/>
  <c r="C225" i="1"/>
  <c r="B225" i="1"/>
  <c r="C224" i="1"/>
  <c r="B224" i="1"/>
  <c r="C223" i="1"/>
  <c r="B223" i="1"/>
  <c r="C222" i="1"/>
  <c r="B222" i="1"/>
  <c r="C221" i="1"/>
  <c r="B221" i="1"/>
  <c r="C220" i="1"/>
  <c r="B220" i="1"/>
  <c r="C219" i="1"/>
  <c r="B219" i="1"/>
  <c r="D218" i="1"/>
  <c r="C218" i="1"/>
  <c r="B218" i="1"/>
  <c r="C217" i="1"/>
  <c r="B217" i="1"/>
  <c r="C216" i="1"/>
  <c r="B216" i="1"/>
  <c r="C215" i="1"/>
  <c r="B215" i="1"/>
  <c r="C214" i="1"/>
  <c r="B214" i="1"/>
  <c r="C213" i="1"/>
  <c r="B213" i="1"/>
  <c r="D212" i="1"/>
  <c r="C212" i="1"/>
  <c r="B212" i="1"/>
  <c r="C211" i="1"/>
  <c r="B211" i="1"/>
  <c r="C210" i="1"/>
  <c r="B210" i="1"/>
  <c r="C209" i="1"/>
  <c r="B209" i="1"/>
  <c r="C208" i="1"/>
  <c r="B208" i="1"/>
  <c r="C207" i="1"/>
  <c r="B207" i="1"/>
  <c r="C206" i="1"/>
  <c r="B206" i="1"/>
  <c r="C205" i="1"/>
  <c r="B205" i="1"/>
  <c r="C204" i="1"/>
  <c r="B204" i="1"/>
  <c r="C203" i="1"/>
  <c r="B203" i="1"/>
  <c r="C202" i="1"/>
  <c r="B202" i="1"/>
  <c r="C201" i="1"/>
  <c r="B201" i="1"/>
  <c r="C200" i="1"/>
  <c r="B200" i="1"/>
  <c r="C199" i="1"/>
  <c r="B199" i="1"/>
  <c r="C198" i="1"/>
  <c r="B198" i="1"/>
  <c r="C197" i="1"/>
  <c r="B197" i="1"/>
  <c r="C196" i="1"/>
  <c r="B196" i="1"/>
  <c r="C195" i="1"/>
  <c r="B195" i="1"/>
  <c r="C194" i="1"/>
  <c r="B194" i="1"/>
  <c r="D193" i="1"/>
  <c r="C193" i="1"/>
  <c r="B193" i="1"/>
  <c r="C192" i="1"/>
  <c r="B192" i="1"/>
  <c r="E191" i="1"/>
  <c r="D191" i="1"/>
  <c r="C191" i="1"/>
  <c r="B191" i="1"/>
  <c r="C190" i="1"/>
  <c r="B190" i="1"/>
  <c r="C189" i="1"/>
  <c r="B189" i="1"/>
  <c r="C188" i="1"/>
  <c r="B188" i="1"/>
  <c r="C187" i="1"/>
  <c r="B187" i="1"/>
  <c r="C186" i="1"/>
  <c r="B186" i="1"/>
  <c r="E185" i="1"/>
  <c r="D185" i="1"/>
  <c r="C185" i="1"/>
  <c r="B185" i="1"/>
  <c r="C184" i="1"/>
  <c r="B184" i="1"/>
  <c r="C183" i="1"/>
  <c r="B183" i="1"/>
  <c r="C182" i="1"/>
  <c r="B182" i="1"/>
  <c r="C181" i="1"/>
  <c r="B181" i="1"/>
  <c r="C180" i="1"/>
  <c r="B180" i="1"/>
  <c r="C179" i="1"/>
  <c r="B179" i="1"/>
  <c r="C178" i="1"/>
  <c r="B178" i="1"/>
  <c r="C177" i="1"/>
  <c r="B177" i="1"/>
  <c r="C176" i="1"/>
  <c r="B176" i="1"/>
  <c r="C175" i="1"/>
  <c r="B175" i="1"/>
  <c r="C174" i="1"/>
  <c r="B174" i="1"/>
  <c r="C173" i="1"/>
  <c r="B173" i="1"/>
  <c r="C172" i="1"/>
  <c r="B172" i="1"/>
  <c r="C171" i="1"/>
  <c r="B171" i="1"/>
  <c r="C170" i="1"/>
  <c r="B170" i="1"/>
  <c r="C169" i="1"/>
  <c r="B169" i="1"/>
  <c r="D168" i="1"/>
  <c r="C168" i="1"/>
  <c r="B168" i="1"/>
  <c r="H167" i="1"/>
  <c r="G167" i="1"/>
  <c r="F167" i="1"/>
  <c r="E167" i="1"/>
  <c r="D167" i="1"/>
  <c r="C167" i="1"/>
  <c r="B167" i="1"/>
  <c r="C166" i="1"/>
  <c r="B166" i="1"/>
  <c r="C165" i="1"/>
  <c r="B165" i="1"/>
  <c r="C164" i="1"/>
  <c r="B164" i="1"/>
  <c r="E163" i="1"/>
  <c r="D163" i="1"/>
  <c r="C163" i="1"/>
  <c r="B163" i="1"/>
  <c r="C162" i="1"/>
  <c r="B162" i="1"/>
  <c r="C161" i="1"/>
  <c r="B161" i="1"/>
  <c r="C160" i="1"/>
  <c r="B160" i="1"/>
  <c r="C159" i="1"/>
  <c r="B159" i="1"/>
  <c r="D158" i="1"/>
  <c r="C158" i="1"/>
  <c r="B158" i="1"/>
  <c r="C157" i="1"/>
  <c r="B157" i="1"/>
  <c r="C156" i="1"/>
  <c r="B156" i="1"/>
  <c r="E155" i="1"/>
  <c r="D155" i="1"/>
  <c r="C155" i="1"/>
  <c r="B155" i="1"/>
  <c r="E154" i="1"/>
  <c r="D154" i="1"/>
  <c r="C154" i="1"/>
  <c r="B154" i="1"/>
  <c r="D153" i="1"/>
  <c r="C153" i="1"/>
  <c r="B153" i="1"/>
  <c r="C152" i="1"/>
  <c r="B152" i="1"/>
  <c r="C151" i="1"/>
  <c r="B151" i="1"/>
  <c r="C150" i="1"/>
  <c r="B150" i="1"/>
  <c r="C149" i="1"/>
  <c r="B149" i="1"/>
  <c r="C148" i="1"/>
  <c r="B148" i="1"/>
  <c r="C147" i="1"/>
  <c r="B147" i="1"/>
  <c r="C146" i="1"/>
  <c r="B146" i="1"/>
  <c r="C145" i="1"/>
  <c r="B145" i="1"/>
  <c r="C144" i="1"/>
  <c r="B144" i="1"/>
  <c r="C143" i="1"/>
  <c r="B143" i="1"/>
  <c r="C142" i="1"/>
  <c r="B142" i="1"/>
  <c r="C141" i="1"/>
  <c r="B141" i="1"/>
  <c r="C140" i="1"/>
  <c r="B140" i="1"/>
  <c r="D139" i="1"/>
  <c r="C139" i="1"/>
  <c r="B139" i="1"/>
  <c r="C138" i="1"/>
  <c r="B138" i="1"/>
  <c r="D137" i="1"/>
  <c r="C137" i="1"/>
  <c r="B137" i="1"/>
  <c r="C136" i="1"/>
  <c r="B136" i="1"/>
  <c r="C135" i="1"/>
  <c r="B135" i="1"/>
  <c r="C134" i="1"/>
  <c r="B134" i="1"/>
  <c r="C133" i="1"/>
  <c r="B133" i="1"/>
  <c r="C132" i="1"/>
  <c r="B132" i="1"/>
  <c r="C131" i="1"/>
  <c r="B131" i="1"/>
  <c r="C130" i="1"/>
  <c r="B130" i="1"/>
  <c r="C129" i="1"/>
  <c r="B129" i="1"/>
  <c r="C128" i="1"/>
  <c r="B128" i="1"/>
  <c r="C127" i="1"/>
  <c r="B127" i="1"/>
  <c r="C126" i="1"/>
  <c r="B126" i="1"/>
  <c r="C125" i="1"/>
  <c r="B125" i="1"/>
  <c r="C124" i="1"/>
  <c r="B124" i="1"/>
  <c r="C123" i="1"/>
  <c r="B123" i="1"/>
  <c r="C122" i="1"/>
  <c r="B122" i="1"/>
  <c r="C121" i="1"/>
  <c r="B121" i="1"/>
  <c r="C120" i="1"/>
  <c r="B120" i="1"/>
  <c r="C119" i="1"/>
  <c r="B119" i="1"/>
  <c r="C118" i="1"/>
  <c r="B118" i="1"/>
  <c r="C117" i="1"/>
  <c r="B117" i="1"/>
  <c r="C116" i="1"/>
  <c r="B116" i="1"/>
  <c r="C115" i="1"/>
  <c r="B115" i="1"/>
  <c r="C114" i="1"/>
  <c r="B114" i="1"/>
  <c r="C113" i="1"/>
  <c r="B113" i="1"/>
  <c r="C112" i="1"/>
  <c r="B112" i="1"/>
  <c r="C111" i="1"/>
  <c r="B111" i="1"/>
  <c r="C110" i="1"/>
  <c r="B110" i="1"/>
  <c r="E109" i="1"/>
  <c r="D109" i="1"/>
  <c r="C109" i="1"/>
  <c r="B109" i="1"/>
  <c r="D108" i="1"/>
  <c r="C108" i="1"/>
  <c r="B108" i="1"/>
  <c r="C107" i="1"/>
  <c r="B107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90" i="1"/>
  <c r="B90" i="1"/>
  <c r="C89" i="1"/>
  <c r="B89" i="1"/>
  <c r="C88" i="1"/>
  <c r="B88" i="1"/>
  <c r="C87" i="1"/>
  <c r="B87" i="1"/>
  <c r="C86" i="1"/>
  <c r="B86" i="1"/>
  <c r="C85" i="1"/>
  <c r="B85" i="1"/>
  <c r="C84" i="1"/>
  <c r="B84" i="1"/>
  <c r="C83" i="1"/>
  <c r="B83" i="1"/>
  <c r="D82" i="1"/>
  <c r="C82" i="1"/>
  <c r="B82" i="1"/>
  <c r="C81" i="1"/>
  <c r="B81" i="1"/>
  <c r="C80" i="1"/>
  <c r="B80" i="1"/>
  <c r="C79" i="1"/>
  <c r="B79" i="1"/>
  <c r="E78" i="1"/>
  <c r="D78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E71" i="1"/>
  <c r="D71" i="1"/>
  <c r="C71" i="1"/>
  <c r="B71" i="1"/>
  <c r="C70" i="1"/>
  <c r="B70" i="1"/>
  <c r="C69" i="1"/>
  <c r="B69" i="1"/>
  <c r="C68" i="1"/>
  <c r="B68" i="1"/>
  <c r="C67" i="1"/>
  <c r="B67" i="1"/>
  <c r="C66" i="1"/>
  <c r="B66" i="1"/>
  <c r="E65" i="1"/>
  <c r="D65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D42" i="1"/>
  <c r="C42" i="1"/>
  <c r="B42" i="1"/>
  <c r="D41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D34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E5" i="1"/>
  <c r="D5" i="1"/>
  <c r="C5" i="1"/>
  <c r="B5" i="1"/>
  <c r="C4" i="1"/>
  <c r="B4" i="1"/>
  <c r="C3" i="1"/>
  <c r="B3" i="1"/>
  <c r="C2" i="1"/>
  <c r="B2" i="1"/>
</calcChain>
</file>

<file path=xl/sharedStrings.xml><?xml version="1.0" encoding="utf-8"?>
<sst xmlns="http://schemas.openxmlformats.org/spreadsheetml/2006/main" count="3000" uniqueCount="2225">
  <si>
    <t>GENESYMBOL</t>
  </si>
  <si>
    <t>OMIMGENE</t>
  </si>
  <si>
    <t>OMIM</t>
  </si>
  <si>
    <t>ENFERMEDAD</t>
  </si>
  <si>
    <t>AAAS</t>
  </si>
  <si>
    <t>SÍNDROME ACHALASIA-ADDISONIANISM-ALACRIMIA</t>
  </si>
  <si>
    <t>AASS</t>
  </si>
  <si>
    <t>HIPERLISINEMIA</t>
  </si>
  <si>
    <t>ABCC6</t>
  </si>
  <si>
    <t>CALCIFICACIÓN ARTERIAL, GENERALIZADA, DE LA INFANCIA, 2</t>
  </si>
  <si>
    <t>ABCC8</t>
  </si>
  <si>
    <t>HIPOGLUCEMIA HIPERINSULINÉMICA, FAMILIAR 1; DIABETES MELLITUS NEONATAL PERMANENTE 3; DIABETES MELLITUS NEONATAL TRANSITORIA 2</t>
  </si>
  <si>
    <t>ABCD1</t>
  </si>
  <si>
    <t>ADRENOLEUCODISTROFIA (ALD)</t>
  </si>
  <si>
    <t>ABCD4</t>
  </si>
  <si>
    <t>ACIDEMIA METILMALÓNICA CON HOMOCISTINURIA, TIPO CBLJ</t>
  </si>
  <si>
    <t>ABCG5</t>
  </si>
  <si>
    <t>SITOSTEROLEMIA 2</t>
  </si>
  <si>
    <t>ABCG8</t>
  </si>
  <si>
    <t>ACADM</t>
  </si>
  <si>
    <t>MEDIUM-CHAIN ACYL-COA DEHYDROGENASE DEFICIENCY (ACADMD)</t>
  </si>
  <si>
    <t>ACADSB</t>
  </si>
  <si>
    <t>DEFICIENCIA DE ACIL-COA DESHIDROGENASA, CADENA CORTA RAMIFICADA (2-METILBUTIRILGLICINURIA)</t>
  </si>
  <si>
    <t>ACADVL</t>
  </si>
  <si>
    <t>DEFICIENCIA DE ACIL-COA DESHIDROGENASA DE CADENA MUY LARGA (VLCAD)</t>
  </si>
  <si>
    <t>ACAT1</t>
  </si>
  <si>
    <t>DEFICIENCIA DE ẞ-CETOTIOLASA (ACIDURIA ALFA-METILACETOACÉTICO)</t>
  </si>
  <si>
    <t>ACSF3</t>
  </si>
  <si>
    <t>ACIDEMIA COMBINADA MALÓNICA Y METILMALÓNICA</t>
  </si>
  <si>
    <t>ACVRL1</t>
  </si>
  <si>
    <t>TELANGIECTASIA, HEREDITARY HEMORRHAGIC, TIPO 2 (HHT2)</t>
  </si>
  <si>
    <t>ADA</t>
  </si>
  <si>
    <t>DEFICIENCIA DE ADENOSINA DEAMINASA; INMUNODEFICIENCIA COMBINADA SEVERA POR DEFICIENCIA DE ADA</t>
  </si>
  <si>
    <t>ADA2</t>
  </si>
  <si>
    <t>SÍNDROME DE VASCULITIS, AUTOINFLAMACIÓN, INMUNODEFICIENCIA Y DEFECTOS HEMATOLÓGICOS</t>
  </si>
  <si>
    <t>ADAM17</t>
  </si>
  <si>
    <t>ENFERMEDAD INFLAMATORIA DE LA PIEL Y DEL INTESTINO, NEONATAL, 1</t>
  </si>
  <si>
    <t>ADAMTS13</t>
  </si>
  <si>
    <t>PÚRPURA TROMBOCITOPÉNICA TROMBÓTICA FAMILIAR</t>
  </si>
  <si>
    <t>ADAR</t>
  </si>
  <si>
    <t>SÍNDROME DE AICARDI-GOUTIÈRES 6</t>
  </si>
  <si>
    <t>ADGRV1</t>
  </si>
  <si>
    <t>SÍNDROME DE USHER, TIPO 2C</t>
  </si>
  <si>
    <t>AGL</t>
  </si>
  <si>
    <t>ENFERMEDAD POR ALMACENAMIENTO DE GLUCÓGENO TIPO III</t>
  </si>
  <si>
    <t>AGPAT2</t>
  </si>
  <si>
    <t xml:space="preserve">LIPODISTROFIA GENERALIZADA CONGÉNITA, TIPO 1 </t>
  </si>
  <si>
    <t>AGRN</t>
  </si>
  <si>
    <t xml:space="preserve">SÍNDROME MIASTÉNICO CONGÉNITO, 8, CON DEFECTOS PRE Y POSTSINÁPTICOS </t>
  </si>
  <si>
    <t>AGXT</t>
  </si>
  <si>
    <t>HIPEROXALURIA, PRIMARIA, TIPO I</t>
  </si>
  <si>
    <t>AHCY</t>
  </si>
  <si>
    <t>HIPERMETIONINEMIA CON DEFICIENCIA DE S-ADENOSILHOMOCISTEÍNA HIDROLASA</t>
  </si>
  <si>
    <t>AICDA</t>
  </si>
  <si>
    <t>INMUNODEFICIENCIA CON HIPER-IGM, TIPO 2</t>
  </si>
  <si>
    <t>AIRE</t>
  </si>
  <si>
    <t>SÍNDROME DE POLIENDOCRINOPATÍA AUTOINMUNE TIPO I, CON O SIN DISPLASIA METAFISARIA REVERSIBLE</t>
  </si>
  <si>
    <t>AK2</t>
  </si>
  <si>
    <t>DISGENESIA RETICULAR</t>
  </si>
  <si>
    <t>AKAP9</t>
  </si>
  <si>
    <t xml:space="preserve">SÍNDROME DE QT LARGO 11 </t>
  </si>
  <si>
    <t>AKR1D1</t>
  </si>
  <si>
    <t>DEFECTO DE LA SÍNTESIS DE ÁCIDOS BILIARES, CONGÉNITO, 2</t>
  </si>
  <si>
    <t>AKT2</t>
  </si>
  <si>
    <t xml:space="preserve">HIPOGLUCEMIA HIPOINSULINÉMICA CON HEMIHIPERTROFIA </t>
  </si>
  <si>
    <t>ALAD</t>
  </si>
  <si>
    <t xml:space="preserve">PORFIRIA HEPÁTICA AGUDA; SUSCEPTIBILIDAD A INTOXICACIÓN POR PLOMO </t>
  </si>
  <si>
    <t>ALAS2</t>
  </si>
  <si>
    <t>PROTOPORFIRIA ERITROPOYÉTICA LIGADA AL CROMOSOMA X; ANEMIA SIDEROBLÁSTICA TIPO 1</t>
  </si>
  <si>
    <t>ALDH4A1</t>
  </si>
  <si>
    <t>HIPERPROLINEMIA II</t>
  </si>
  <si>
    <t>ALDH5A1</t>
  </si>
  <si>
    <t>DEFICIENCIA DE SEMIALDEHÍDO DESHIDROGENASA SUCCÍNICO</t>
  </si>
  <si>
    <t>ALDH6A1</t>
  </si>
  <si>
    <t>DEFICIENCIA DE DESHIDROGENASA DE SEMIALDEHÍDO DE METILMALONATO</t>
  </si>
  <si>
    <t>ALDH7A1</t>
  </si>
  <si>
    <t>EPILEPSIA DEPENDIENTE DE PIRIDOXINA (EPD)</t>
  </si>
  <si>
    <t>ALDOB</t>
  </si>
  <si>
    <t>INTOLERANCIA HEREDITARIA A LA FRUCTOSA (HFI)</t>
  </si>
  <si>
    <t>ALG14</t>
  </si>
  <si>
    <t xml:space="preserve">MIOPATÍA, EPILEPSIA Y ATROFIA CEREBRAL PROGRESIVA </t>
  </si>
  <si>
    <t>ALG2</t>
  </si>
  <si>
    <t>ALPL</t>
  </si>
  <si>
    <t>HIPOFOSFATASIA AUTOSÓMICA RECESIVA (INFANTIL)</t>
  </si>
  <si>
    <t>AMACR</t>
  </si>
  <si>
    <t>DEFECTO DE LA SÍNTESIS DE ÁCIDOS BILIARES, CONGÉNITO, 4</t>
  </si>
  <si>
    <t>AMN</t>
  </si>
  <si>
    <t>SÍNDROME DE IMERSLUND-GRASBECK 2</t>
  </si>
  <si>
    <t>ANK2</t>
  </si>
  <si>
    <t xml:space="preserve">SÍNDROME DE QT LARGO 4; ARRITMIA CARDÍACA RELACIONADA CON LA ANQUIRINA-B </t>
  </si>
  <si>
    <t>AP1S1</t>
  </si>
  <si>
    <t xml:space="preserve">SÍNDROME DE MEDNIK </t>
  </si>
  <si>
    <t>AP3B1</t>
  </si>
  <si>
    <t>SÍNDROME DE HERMANSKY-PUDLAK 2</t>
  </si>
  <si>
    <t>AP3D1</t>
  </si>
  <si>
    <t>SÍNDROME DE HERMANSKY-PUDLAK 10</t>
  </si>
  <si>
    <t>APOA5</t>
  </si>
  <si>
    <t xml:space="preserve">SUSCEPTIBILIDAD A HIPERTRIGLICERIDEMIA </t>
  </si>
  <si>
    <t>APOB</t>
  </si>
  <si>
    <t xml:space="preserve">HIPERCOLESTEROLEMIA FAMILIAR, 2 </t>
  </si>
  <si>
    <t>APOC2</t>
  </si>
  <si>
    <t xml:space="preserve">HIPERLIPOPROTEINEMIA TIPO IB </t>
  </si>
  <si>
    <t>APRT</t>
  </si>
  <si>
    <t xml:space="preserve">DEFICIENCIA DE ADENINA FOSFORRIBOSILTRANSFERASA </t>
  </si>
  <si>
    <t>AQP2</t>
  </si>
  <si>
    <t>DIABETES INSÍPIDA NEFRÓGENA RECESIVA TIPO 2</t>
  </si>
  <si>
    <t>ARG1</t>
  </si>
  <si>
    <t>ARGININEMIA</t>
  </si>
  <si>
    <t>ARHGEF1</t>
  </si>
  <si>
    <t xml:space="preserve">INMUNODEFICIENCIA 62 </t>
  </si>
  <si>
    <t>ARPC1B</t>
  </si>
  <si>
    <t>INMUNODEFICIENCIA 71 CON ENFERMEDAD INFLAMATORIA Y TROMBOCITOPENIA CONGÉNITA</t>
  </si>
  <si>
    <t>ARSA</t>
  </si>
  <si>
    <t>LEUCODISTROFIA METACROMÁTICA (ENZIMA LISOSOMAL ARILSULFATASA)</t>
  </si>
  <si>
    <t>ARSB</t>
  </si>
  <si>
    <t>MUCOPOLISACARIDOSIS TIPO VI (MAROTEAUX-LAMY)</t>
  </si>
  <si>
    <t>ASL</t>
  </si>
  <si>
    <t>ACIDURIA ARGININOSUCCÍNICA</t>
  </si>
  <si>
    <t>ASS1</t>
  </si>
  <si>
    <t>CITRULINEMIA CLÁSICA TIPO 1 (CIT)</t>
  </si>
  <si>
    <t>ATP6V0A4</t>
  </si>
  <si>
    <t>ACIDOSIS TUBULAR RENAL TIPO 3 CON/SIN SORDERA/HIPOACUSIA</t>
  </si>
  <si>
    <t>ATP6V1B1</t>
  </si>
  <si>
    <t>ACIDOSIS TUBULAR RENAL TIPO 2 CON SORDERA/HIPOACUSIA</t>
  </si>
  <si>
    <t>ATP7A</t>
  </si>
  <si>
    <t xml:space="preserve">ENFERMEDAD DE MENKES </t>
  </si>
  <si>
    <t>ATP7B</t>
  </si>
  <si>
    <t xml:space="preserve">WILSON DISEASE </t>
  </si>
  <si>
    <t>ATP8B1</t>
  </si>
  <si>
    <t xml:space="preserve">COLESTASIS INTRAHEPÁTICA FAMILIAR PROGRESIVA 1; COLESTASIS INTRAHEPÁTICA DEL EMBARAZO, 1; COLESTASIS, INTRAHEPÁTICA RECURRENTE BENIGNA </t>
  </si>
  <si>
    <t>AUH</t>
  </si>
  <si>
    <t>ACIDURIA 3-METILGLUTACÓNICA TIPO I</t>
  </si>
  <si>
    <t>AVP</t>
  </si>
  <si>
    <t>DIABETES INSIPIDA, NEUROHIPOFISARIA</t>
  </si>
  <si>
    <t>AVPR2</t>
  </si>
  <si>
    <t>DIABETES INSÍPIDA NEFRÓGENA TIPO 1</t>
  </si>
  <si>
    <t>BAAT</t>
  </si>
  <si>
    <t>HIPERCOLANEMIA FAMILIAR TIPO 3</t>
  </si>
  <si>
    <t>BACH2</t>
  </si>
  <si>
    <t xml:space="preserve">INMUNODEFICIENCIA 60 Y AUTOINMUNIDAD </t>
  </si>
  <si>
    <t>BAG3</t>
  </si>
  <si>
    <t xml:space="preserve">NEUROPATÍA, MOTORA HEREDITARIA DISTAL, AUTOSÓMICA DOMINANTE 15; CARDIOMYOPATHY, DILATED, 1HH; ENFERMEDAD DE CHARCOT-MARIE-TOOTH, AXONAL, TIPO 2JJ </t>
  </si>
  <si>
    <t>BCKDHA</t>
  </si>
  <si>
    <t>ENFERMEDAD DE LA ORINA DE JARABE DE ARCE, TIPO IA (MSUD1A)</t>
  </si>
  <si>
    <t>BCKDHB</t>
  </si>
  <si>
    <t>ENFERMEDAD DE LA ORINA DE JARABE DE ARCE, TIPO IB</t>
  </si>
  <si>
    <t>BCKDK</t>
  </si>
  <si>
    <t>DEFICIENCIA DE CETOÁCIDO DESHIDROGENASA QUINASA DE CADENA RAMIFICADA</t>
  </si>
  <si>
    <t>BCL10</t>
  </si>
  <si>
    <t xml:space="preserve">INMUNODEFICIENCIA 37 </t>
  </si>
  <si>
    <t>BCL11B</t>
  </si>
  <si>
    <t xml:space="preserve">TRASTORNO DEL DESARROLLO INTELECTUAL CON DISMORFIA FACIAL, RETRASO EN EL HABLA Y ANOMALÍAS EN LAS CÉLULAS T. </t>
  </si>
  <si>
    <t>BLNK</t>
  </si>
  <si>
    <t>AGAMMAGLOBULINEMIA 4</t>
  </si>
  <si>
    <t>BRAF</t>
  </si>
  <si>
    <t xml:space="preserve">SÍNDROME DE LEOPARD 3; SÍNDROME CARDIOFACIOCUTÁNEO; SÍNDROME DE NOONAN 7 </t>
  </si>
  <si>
    <t>BSCL2</t>
  </si>
  <si>
    <t>LIPODISTROFIA CONGÉNITA GENERALIZADA TIPO 2</t>
  </si>
  <si>
    <t>BSND</t>
  </si>
  <si>
    <t xml:space="preserve">SÍNDROME DE BARTTER, TIPO 4A; SORDERA NEUROSENSORIAL CON DISFUNCIÓN RENAL LEVE </t>
  </si>
  <si>
    <t>BTD</t>
  </si>
  <si>
    <t>DEFICIENCIA DE BIOTINIDASA</t>
  </si>
  <si>
    <t>BTK</t>
  </si>
  <si>
    <t>AGAMMAGLOBULINEMIA; DEFICIENCIA AISLADA DE HORMONA DE CRECIMIENTO, TIPO III, CON AGAMMAGLOBULINEMIA</t>
  </si>
  <si>
    <t>C1QA</t>
  </si>
  <si>
    <t xml:space="preserve">DEFICIENCIA DE C1Q 1 </t>
  </si>
  <si>
    <t>C1QB</t>
  </si>
  <si>
    <t xml:space="preserve">DEFICIENCIA DE C1Q 2 </t>
  </si>
  <si>
    <t>C1QC</t>
  </si>
  <si>
    <t xml:space="preserve">DEFICIENCIA DE C1Q 3 </t>
  </si>
  <si>
    <t>C2</t>
  </si>
  <si>
    <t>DEFICIENCIA C2</t>
  </si>
  <si>
    <t>C3</t>
  </si>
  <si>
    <t>DEFICIENCIA C3</t>
  </si>
  <si>
    <t>C5</t>
  </si>
  <si>
    <t>DEFICIENCIA C5</t>
  </si>
  <si>
    <t>C6</t>
  </si>
  <si>
    <t>DEFICIENCIA C6</t>
  </si>
  <si>
    <t>C7</t>
  </si>
  <si>
    <t>DEFICIENCIA C7</t>
  </si>
  <si>
    <t>C8A</t>
  </si>
  <si>
    <t>DEFICIENCIA C8 TIPO I</t>
  </si>
  <si>
    <t>C8B</t>
  </si>
  <si>
    <t>DEFICIENCIA C8 TIPO II</t>
  </si>
  <si>
    <t>C9</t>
  </si>
  <si>
    <t>DEFICIENCIA C9</t>
  </si>
  <si>
    <t>CA2</t>
  </si>
  <si>
    <t>OSTEOPETROSIS AUTOSÓMICA RECESIVA TIPO 3, CON ACIDOSIS TUBULAR RENAL</t>
  </si>
  <si>
    <t>CA5A</t>
  </si>
  <si>
    <t>HIPERAMONEMIA POR DEFICIENCIA DE ANHIDRASA CARBÓNICA VA</t>
  </si>
  <si>
    <t>CABP2</t>
  </si>
  <si>
    <t>SORDERA NO SINDRÓMICA, AUTOSÓMICA RECESIVA 93 (DFNB93)</t>
  </si>
  <si>
    <t>CACNA1C</t>
  </si>
  <si>
    <t xml:space="preserve">SÍNDROME DE TIMOTHY </t>
  </si>
  <si>
    <t>CACNB2</t>
  </si>
  <si>
    <t xml:space="preserve">SÍNDROME DE BRUGADA 4 </t>
  </si>
  <si>
    <t>CAD</t>
  </si>
  <si>
    <t>ENCEFALOPATÍA DEL DESARROLLO Y EPILÉPTICA</t>
  </si>
  <si>
    <t>CALM1</t>
  </si>
  <si>
    <t>TAQUICARDIA VENTRICULAR POLIMÓRFICA CATECOLAMINÉRGICA 4 (CPVT4)</t>
  </si>
  <si>
    <t>CALM2</t>
  </si>
  <si>
    <t>SÍNDROME DE QT LARGO 15 (LQT15)</t>
  </si>
  <si>
    <t>CALM3</t>
  </si>
  <si>
    <t>TAQUICARDIA VENTRICULAR POLIMÓRFICA CATECOLAMINÉRGICA 6
SÍNDROME DE QT LARGO 16 (LQT16)</t>
  </si>
  <si>
    <t>CARD11</t>
  </si>
  <si>
    <t>INMUNODEFICIENCIA 11A</t>
  </si>
  <si>
    <t>CARD9</t>
  </si>
  <si>
    <t xml:space="preserve">INMUNODEFICIENCIA 103, SUSCEPTIBILIDAD A LA INFECCIÓN POR HONGOS </t>
  </si>
  <si>
    <t>CARMIL2</t>
  </si>
  <si>
    <t xml:space="preserve">INMUNODEFICIENCIA 58 </t>
  </si>
  <si>
    <t>CASP8</t>
  </si>
  <si>
    <t xml:space="preserve">SÍNDROME DE LINFADENOPATÍA POR CASPASA 8 </t>
  </si>
  <si>
    <t>CASQ2</t>
  </si>
  <si>
    <t>TAQUICARDIA VENTRICULAR, CATECOLAMINÉRGICA POLIMÓRFICA, 2 (RECESSIVE)</t>
  </si>
  <si>
    <t>CASR</t>
  </si>
  <si>
    <t>HIPERPARATIROIDISMO, NEONATAL SEVERO; HIPOCALCEMIA, CON O SIN SÍNDROME DE BARTTER</t>
  </si>
  <si>
    <t>CAV1</t>
  </si>
  <si>
    <t>HIPERTENSIÓN PULMONAR PRIMARIA, 3; LIPODISTROFIA PARCIAL, CATARATAS CONGÉNITAS Y SÍNDROME DE NEURODEGENERACIÓN; LIPODISTROFIA CONGÉNITA GENERALIZADA, TIPO 3</t>
  </si>
  <si>
    <t>CAV3</t>
  </si>
  <si>
    <t xml:space="preserve">SÍNDROME DE QT LARGO 9 </t>
  </si>
  <si>
    <t>CAVIN1</t>
  </si>
  <si>
    <t>LIPODISTROFIA CONGÉNITA GENERALIZADA TIPO 4</t>
  </si>
  <si>
    <t>CBLIF</t>
  </si>
  <si>
    <t>DEFICIENCIA DE FACTOR INTRÍNSECO</t>
  </si>
  <si>
    <t>CBS</t>
  </si>
  <si>
    <t>HOMOCISTINURIA POR DEFICIENCIA DE CISTATIONINA BETA-SINTASA</t>
  </si>
  <si>
    <t>CCDC39</t>
  </si>
  <si>
    <t>DISCINESIA CILIAR, PRIMARIA, 14</t>
  </si>
  <si>
    <t>CCDC40</t>
  </si>
  <si>
    <t>DISCINESIA CILIAR, PRIMARIA, 15</t>
  </si>
  <si>
    <t>CCDC50</t>
  </si>
  <si>
    <t xml:space="preserve">SORDERA AUTOSÓMICA DOMINANTE 44 </t>
  </si>
  <si>
    <t>CCNO</t>
  </si>
  <si>
    <t>DISCINESIA CILIAR, PRIMARIA, 29</t>
  </si>
  <si>
    <t>CD19</t>
  </si>
  <si>
    <t xml:space="preserve">INMUNODEFICIENCIA, VARIABLE COMÚN, 3 </t>
  </si>
  <si>
    <t>CD247</t>
  </si>
  <si>
    <t>INMUNODEFICIENCIA POR DEFECTO EN CD3-ZETA (INMUNODEFICIENCIA 25)</t>
  </si>
  <si>
    <t>CD27</t>
  </si>
  <si>
    <t xml:space="preserve">SÍNDROME LINFOPROLIFERATIVO 2 </t>
  </si>
  <si>
    <t>CD28</t>
  </si>
  <si>
    <t xml:space="preserve">INMUNODEFICIENCIA 123 CON VERRUGOSIS RELACIONADA CON EL VPH </t>
  </si>
  <si>
    <t>CD320</t>
  </si>
  <si>
    <t>ACIDURIA METILMALÓNICA, TRANSITORIA, DEBIDA A DEFECTO DEL RECEPTOR DE TRANSCOBALAMINA</t>
  </si>
  <si>
    <t>CD3D</t>
  </si>
  <si>
    <t>INMUNODEFICIENCIA SEVERA COMBINADA 19</t>
  </si>
  <si>
    <t>CD3E</t>
  </si>
  <si>
    <t>INMUNODEFICIENCIA SEVERA COMBINADA 18</t>
  </si>
  <si>
    <t>CD3G</t>
  </si>
  <si>
    <t>INMUNODEFICIENCIA SEVERA COMBINADA 17, CD3 GAMMA DEFICIENTE</t>
  </si>
  <si>
    <t>CD40</t>
  </si>
  <si>
    <t>INMUNODEFICIENCIA CON HIPER-IGM, TIPO 3</t>
  </si>
  <si>
    <t>CD40LG</t>
  </si>
  <si>
    <t>INMUNODEFICIENCIA, LIGADA AL X, CON HIPER-IGM</t>
  </si>
  <si>
    <t>CD46</t>
  </si>
  <si>
    <t xml:space="preserve">SUSCEPTIBILIDAD A SÍNDROME URÉMICO HEMOLÍTICO, ATÍPICO, 2 </t>
  </si>
  <si>
    <t>CD55</t>
  </si>
  <si>
    <t xml:space="preserve">GRUPO SANGUÍNEO CROMER </t>
  </si>
  <si>
    <t>CD59</t>
  </si>
  <si>
    <t xml:space="preserve">ANEMIA HEMOLÍTICA MEDIADA POR CD59, CON O SIN POLINEUROPATÍA INMUNOMEDIADA. </t>
  </si>
  <si>
    <t>CD70</t>
  </si>
  <si>
    <t>SÍNDROME LINFOPROLIFERATIVO POR DESREGULACIÓN INMUNE TIPO 3</t>
  </si>
  <si>
    <t>CD79A</t>
  </si>
  <si>
    <t>AGAMMAGLOBULINEMIA 3</t>
  </si>
  <si>
    <t>CD79B</t>
  </si>
  <si>
    <t>AGAMMAGLOBULINEMIA 6</t>
  </si>
  <si>
    <t>CD81</t>
  </si>
  <si>
    <t xml:space="preserve">INMUNODEFICIENCIA, VARIABLE COMÚN, 6 </t>
  </si>
  <si>
    <t>CDC73</t>
  </si>
  <si>
    <t>HIPERPARATIROIDISMO PRIMARIO FAMILIAR CON MÚLTIPLES FIBROMAS OSIFICANTES DE LA MANDÍBULA</t>
  </si>
  <si>
    <t>CDCA7</t>
  </si>
  <si>
    <t>SÍNDROME DE INMUNODEFICIENCIA, INESTABILIDAD CENTROMÉRICA Y ANOMALÍAS FACIALES TIPO 3</t>
  </si>
  <si>
    <t>CDH23</t>
  </si>
  <si>
    <t>SÍNDROME DE USHER, TIPO 1D; SORDERA NO SINDRÓMICA, AUTOSÓMICA RECESIVA 12 (DFNB12)</t>
  </si>
  <si>
    <t>CDKN1C</t>
  </si>
  <si>
    <t>SÍNDROME IMAGE</t>
  </si>
  <si>
    <t>CEACAM16</t>
  </si>
  <si>
    <t xml:space="preserve">SORDERA AUTOSÓMICA DOMINANTE 4B; SORDERA AUTOSÓMICA RECESIVA 113 </t>
  </si>
  <si>
    <t>CEBPE</t>
  </si>
  <si>
    <t>DEFICIENCIA DE GRÁNULOS ESPECÍFICOS TIPO 1</t>
  </si>
  <si>
    <t>CFAP298</t>
  </si>
  <si>
    <t>DISCINESIA CILIAR, PRIMARIA, 26</t>
  </si>
  <si>
    <t>CFAP300</t>
  </si>
  <si>
    <t>DISCINESIA CILIAR, PRIMARIA, 38</t>
  </si>
  <si>
    <t>CFB</t>
  </si>
  <si>
    <t>DEFICIENCIA DEL FACTOR DE COMPLEMENTO B</t>
  </si>
  <si>
    <t>CFD</t>
  </si>
  <si>
    <t>DEFICIENCIA DEL FACTOR DE COMPLEMENTO D</t>
  </si>
  <si>
    <t>CFH</t>
  </si>
  <si>
    <t>DEFICIENCIA DEL FACTOR DE COMPLEMENTO H AUTOSÓMICO RECESIVO</t>
  </si>
  <si>
    <t>CFHR1</t>
  </si>
  <si>
    <t xml:space="preserve">SUSCEPTIBILIDAD A SÍNDROME URÉMICO HEMOLÍTICO, ATÍPICO </t>
  </si>
  <si>
    <t>CFHR3</t>
  </si>
  <si>
    <t>CFI</t>
  </si>
  <si>
    <t>DEFICIENCIA DEL FACTOR DE COMPLEMENTO I</t>
  </si>
  <si>
    <t>CFP</t>
  </si>
  <si>
    <t>DEFICIENCIA DE PROPERDINA LIGADA AL CROMOSOMA X</t>
  </si>
  <si>
    <t>CFTR</t>
  </si>
  <si>
    <t>FIBROSIS QUÍSTICA (FQ)</t>
  </si>
  <si>
    <t>CHAT</t>
  </si>
  <si>
    <t>SÍNDROME MIASTÉNICO, CONGÉNITO, 6, PRESINÁPTICO</t>
  </si>
  <si>
    <t>CHRNA1</t>
  </si>
  <si>
    <t xml:space="preserve">SÍNDROME MIASTÉNICO CONGÉNITO, 1B, DE CANAL RÁPIDO </t>
  </si>
  <si>
    <t>CHRNB1</t>
  </si>
  <si>
    <t xml:space="preserve">SÍNDROME MIASTÉNICO CONGÉNITO, 2C, ASOCIADO A DEFICIENCIA DEL RECEPTOR DE ACETILCOLINA; SÍNDROME MIASTÉNICO CONGÉNITO, 2A, DE CANAL LENTO </t>
  </si>
  <si>
    <t>CHRND</t>
  </si>
  <si>
    <t xml:space="preserve">SÍNDROME MIASTÉNICO CONGÉNITO, 3C, ASOCIADO A DEFICIENCIA DEL RECEPTOR DE ACETILCOLINA; SÍNDROME MIASTÉNICO CONGÉNITO, 3B, CANAL RÁPIDO; SÍNDROME MIASTÉNICO CONGÉNITO, 3A, DE CANAL LENTO </t>
  </si>
  <si>
    <t>CHRNE</t>
  </si>
  <si>
    <t>SÍNDROME MIASTÉNICO, CONGÉNITO, 4A; 4B; 4C</t>
  </si>
  <si>
    <t>CIB2</t>
  </si>
  <si>
    <t>SORDERA NO SINDRÓMICA, AUTOSÓMICA RECESIVA 48</t>
  </si>
  <si>
    <t>CIITA</t>
  </si>
  <si>
    <t>SÍNDROME DE LINFOCITO DESNUDO, TIPO II, GRUPO DE COMPLEMENTARIEDAD A – DEFICIENCIA DE MHC CLASE II 1</t>
  </si>
  <si>
    <t>CLCN7</t>
  </si>
  <si>
    <t>OSTEOPETROSIS TIPO 4, AUTOSÓMICA RECESIVA Y DOMINANTE</t>
  </si>
  <si>
    <t>CLCNKB</t>
  </si>
  <si>
    <t>SÍNDROME DE BARTTER 3</t>
  </si>
  <si>
    <t>CLDN14</t>
  </si>
  <si>
    <t>SORDERA NO SINDRÓMICA, AUTOSÓMICA RECESIVA 29</t>
  </si>
  <si>
    <t>CLPP</t>
  </si>
  <si>
    <t>SORDERA NO SINDRÓMICA, AUTOSÓMICA RECESIVA 81 (SÍNDROME DE PERRAULT 3)</t>
  </si>
  <si>
    <t>CLRN1</t>
  </si>
  <si>
    <t xml:space="preserve">SÍNDROME DE USHER, TIPO 3A </t>
  </si>
  <si>
    <t>COL11A1</t>
  </si>
  <si>
    <t xml:space="preserve">SÍNDROME DE STICKLER, TIPO II; SÍNDROME DE MARSHALL; SORDERA AUTOSÓMICA DOMINANTE 37 </t>
  </si>
  <si>
    <t>COL11A2</t>
  </si>
  <si>
    <t>SORDERA NO SINDRÓMICA, AUTOSÓMICA RECESIVA 53</t>
  </si>
  <si>
    <t>COL13A1</t>
  </si>
  <si>
    <t>SÍNDROME MIASTÉNICO CONGÉNITO TIPO 19</t>
  </si>
  <si>
    <t>COL1A1</t>
  </si>
  <si>
    <t>OSTEOGENESIS IMPERFECTA, TIPO I</t>
  </si>
  <si>
    <t>COL1A2</t>
  </si>
  <si>
    <t xml:space="preserve">OSTEOGÉNESIS IMPERFECTA, TIPO III; OSTEOPOROSIS POSMENOPÁUSICA; SÍNDROME DE EHLERS-DANLOS, TIPO ARTROCALASIA, 2; SÍNDROME COMBINADO DE OSTEOGÉNESIS IMPERFECTA Y EHLERS-DANLOS TIPO 2; SÍNDROME DE EHLERS-DANLOS, TIPO VALVULAR CARDÍACO; OSTEOGÉNESIS IMPERFECTA, TIPO II </t>
  </si>
  <si>
    <t>COL3A1</t>
  </si>
  <si>
    <t xml:space="preserve">SÍNDROME DE EHLERS-DANLOS, TIPO VASCULAR; POLIMICROGIRIA CON O SIN SÍNDROME DE EHLERS-DANLOS DE TIPO VASCULAR </t>
  </si>
  <si>
    <t>COL4A3</t>
  </si>
  <si>
    <t>SÍNDROME DE ALPORT 3A (ATS3A)</t>
  </si>
  <si>
    <t>COL4A4</t>
  </si>
  <si>
    <t>SÍNDROME DE ALPORT 2 AUTOSOMAL RECESIVO (ATS2)</t>
  </si>
  <si>
    <t>COL4A5</t>
  </si>
  <si>
    <t>SÍNDROME DE ALPORT 1 (ATS1)</t>
  </si>
  <si>
    <t>COLQ</t>
  </si>
  <si>
    <t>SÍNDROME MIASTÉNICO CONGÉNITO TIPO 5</t>
  </si>
  <si>
    <t>COPA</t>
  </si>
  <si>
    <t xml:space="preserve">AUTOINFLAMACIÓN Y AUTOINMUNIDAD SISTÉMICAS CON DESREGULACIÓN INMUNITARIA 1 </t>
  </si>
  <si>
    <t>COQ2</t>
  </si>
  <si>
    <t>DEFICIENCIA DE COENZIMA Q10, PRIMARIA, 1</t>
  </si>
  <si>
    <t>COQ4</t>
  </si>
  <si>
    <t>DEFICIENCIA DE COENZIMA Q10, PRIMARIA, 7</t>
  </si>
  <si>
    <t>COQ5</t>
  </si>
  <si>
    <t xml:space="preserve">DEFICIENCIA DE COENZIMA Q10, PRIMARIA, 9  </t>
  </si>
  <si>
    <t>COQ6</t>
  </si>
  <si>
    <t>DEFICIENCIA DE COENZIMA Q10, PRIMARIA, 6</t>
  </si>
  <si>
    <t>COQ7</t>
  </si>
  <si>
    <t>DEFICIENCIA DE COENZIMA Q10, PRIMARIA, 8</t>
  </si>
  <si>
    <t>COQ8A</t>
  </si>
  <si>
    <t>DEFICIENCIA DE COENZIMA Q10, PRIMARIA, 4</t>
  </si>
  <si>
    <t>COQ8B</t>
  </si>
  <si>
    <t>SÍNDROME NEFRÓTICO, TIPO 9</t>
  </si>
  <si>
    <t>COQ9</t>
  </si>
  <si>
    <t>DEFICIENCIA DE COENZIMA Q10, PRIMARIA, 5</t>
  </si>
  <si>
    <t>CORO1A</t>
  </si>
  <si>
    <t>INMUNODEFICIENCIA 8</t>
  </si>
  <si>
    <t>CPS1</t>
  </si>
  <si>
    <t>DEFICIENCIA DE CARBAMOILFOSFATO SINTETASA 1 (CPS1)</t>
  </si>
  <si>
    <t>CPT1A</t>
  </si>
  <si>
    <t>DEFICIENCIA DE CARNITINA PALMITOILTRANSFERASA 1 (CPT-1), HEPATICO, TIPO IA</t>
  </si>
  <si>
    <t>CPT2</t>
  </si>
  <si>
    <t>DEFICIENCIA DE CARNITINA PALMITOILTRANSFERASA 2 (CPT-2) INTANTIL; NEONATAL; MIOPÁTICA INDUCIDA POR ESTRÉS</t>
  </si>
  <si>
    <t>CR2</t>
  </si>
  <si>
    <t xml:space="preserve">INMUNODEFICIENCIA, VARIABLE COMÚN, 7 </t>
  </si>
  <si>
    <t>CSF2RA</t>
  </si>
  <si>
    <t xml:space="preserve">DISFUNCIÓN DEL METABOLISMO DEL SURFACTANTE, PULMONAR, 4 </t>
  </si>
  <si>
    <t>CSF2RB</t>
  </si>
  <si>
    <t xml:space="preserve">DISFUNCIÓN DEL METABOLISMO DEL SURFACTANTE, PULMONAR, 5 </t>
  </si>
  <si>
    <t>CSF3R</t>
  </si>
  <si>
    <t xml:space="preserve">NEUTROPENIA CONGÉNITA GRAVE, 7, AUTOSÓMICA RECESIVA </t>
  </si>
  <si>
    <t>CTLA4</t>
  </si>
  <si>
    <t xml:space="preserve">DESREGULACIÓN INMUNITARIA CON AUTOINMUNIDAD, INMUNODEFICIENCIA Y LINFOPROLIFERACIÓN. </t>
  </si>
  <si>
    <t>CTNS</t>
  </si>
  <si>
    <t>CISTINOSIS NEFRÓPICA; CISTINOSIS NEFRÓPICA DE INICIO TARDÍO JUVENIL O ADOLESCENTE; CISTINOSIS OCULAR NO NEFRÓPICA</t>
  </si>
  <si>
    <t>CTPS1</t>
  </si>
  <si>
    <t>IMMUNODEFICIENCY 24</t>
  </si>
  <si>
    <t>CTSC</t>
  </si>
  <si>
    <t xml:space="preserve">SÍNDROME DE HAIM-MUNK; SÍNDROME DE PAPILLON-LEFÈVRE </t>
  </si>
  <si>
    <t>CTSK</t>
  </si>
  <si>
    <t>PICNODISOSTOSIS</t>
  </si>
  <si>
    <t>CUBN</t>
  </si>
  <si>
    <t>SÍNDROME DE IMERSLUND-GRASBECK 1</t>
  </si>
  <si>
    <t>CUL3</t>
  </si>
  <si>
    <t xml:space="preserve">PSEUDOHIPOALDOSTERONISMO, TIPO IIE </t>
  </si>
  <si>
    <t>CXCR4</t>
  </si>
  <si>
    <t xml:space="preserve">SÍNDROME DE WHIM </t>
  </si>
  <si>
    <t>CYBA</t>
  </si>
  <si>
    <t>ENFERMEDAD GRANULOMATOSA CRÓNICA TIPO 4</t>
  </si>
  <si>
    <t>CYBB</t>
  </si>
  <si>
    <t>ENFERMEDAD GRANULOMATOSA CRÓNICA LIGADA AL CROMOSOMA X</t>
  </si>
  <si>
    <t>CYBC1</t>
  </si>
  <si>
    <t>ENFERMEDAD GRANULOMATOSA CRÓNICA TIPO 5</t>
  </si>
  <si>
    <t>CYP11A1</t>
  </si>
  <si>
    <t>INSUFICIENCIA SUPRARRENAL, CONGÉNITA, CON INVERSIÓN SEXUAL 46XY, PARCIAL O COMPLETA</t>
  </si>
  <si>
    <t>CYP11B1</t>
  </si>
  <si>
    <t>HIPERPLASIA CONGENITA ADRENAL DEBIDA A DEFICIENCIA DE 11-BETA-HIDROXILASA</t>
  </si>
  <si>
    <t>CYP11B2</t>
  </si>
  <si>
    <t>HIPOALDOSTERONISMO CONGÉNITO DEBIDO A DEFICIENCIA DE CMO I</t>
  </si>
  <si>
    <t>CYP17A1</t>
  </si>
  <si>
    <t>HIPERPLASIA SUPRARRENAL CONGÉNITA DEBIDA A DEFICIENCIA DE 17-ALFA-HIDROXILASA</t>
  </si>
  <si>
    <t>CYP21A2</t>
  </si>
  <si>
    <t>HIPERPLASIA SUPRARRENAL, CONGÉNITA, DEBIDA A DEFICIENCIA DE 21-HIDROXILASA</t>
  </si>
  <si>
    <t>CYP27A1</t>
  </si>
  <si>
    <t>XANTOMATOSIS CEREBROTENDINOSA</t>
  </si>
  <si>
    <t>CYP27B1</t>
  </si>
  <si>
    <t>RAQUITISMO DEPENDIENTE DE VITAMINA D, TIPO I</t>
  </si>
  <si>
    <t>CYP2R1</t>
  </si>
  <si>
    <t>RAQUITISMO DEBIDO A DEFICIENCIA EN LA 25-HIDROXILACIÓN DE LA VITAMINA D</t>
  </si>
  <si>
    <t>CYP7B1</t>
  </si>
  <si>
    <t>DEFECTO DE LA SÍNTESIS DE ÁCIDOS BILIARES, CONGÉNITO, 3</t>
  </si>
  <si>
    <t>DBH</t>
  </si>
  <si>
    <t>HIPOTENSIÓN ORTOSTÁTICA 1, POR DEFICIENCIA DE DOPAMINA BETA-MONOOXIGENASA</t>
  </si>
  <si>
    <t>DBT</t>
  </si>
  <si>
    <t>ENFERMEDAD DE LA ORINA DE JARABE DE ARCE, TIPO II</t>
  </si>
  <si>
    <t>DCLRE1C</t>
  </si>
  <si>
    <t>INMUNODEFICIENCIA COMBINADA SEVERA, TIPO ATHABASCAN; SÍNDROME OMENN</t>
  </si>
  <si>
    <t>DDB2</t>
  </si>
  <si>
    <t>XERODERMA PIGMENTOSO, GRUPO E, SUBTIPO DDB-NEGATIVO</t>
  </si>
  <si>
    <t>DDC</t>
  </si>
  <si>
    <t>DEFICIENCIA DE L-AMINOÁCIDO AROMÁTICO DESCARBOXILASA</t>
  </si>
  <si>
    <t>DGAT1</t>
  </si>
  <si>
    <t>DIARREA 7, TIPO ENTEROPATÍA PERDEDORA DE PROTEÍNAS</t>
  </si>
  <si>
    <t>DHCR7</t>
  </si>
  <si>
    <t xml:space="preserve">SÍNDROME DE SMITH-LEMLI-OPITZ </t>
  </si>
  <si>
    <t>DHFR</t>
  </si>
  <si>
    <t>ANEMIA MEGALOBLÁSTICA POR DEFICIENCIA DE DIHIDROFOLATO REDUCTASA</t>
  </si>
  <si>
    <t>DIAPH1</t>
  </si>
  <si>
    <t xml:space="preserve">SORDERA AUTOSÓMICA DOMINANTE TIPO 1, CON O SIN TROMBOCITOPENIA; CONVULSIONES, CEGUERA CORTICAL, SÍNDROME DE MICROCEFALIA </t>
  </si>
  <si>
    <t>DIO1</t>
  </si>
  <si>
    <t xml:space="preserve">METABOLISMO DE LA HORMONA TIROIDEA, ANORMAL, 2 </t>
  </si>
  <si>
    <t>DKC1</t>
  </si>
  <si>
    <t>DISQUERATOSIS CONGÉNITA, LIGADA AL CROMOSOMA X</t>
  </si>
  <si>
    <t>DLAT</t>
  </si>
  <si>
    <t xml:space="preserve">DEFICIENCIA DE PIRUVATO DESHIDROGENASA E2 </t>
  </si>
  <si>
    <t>DLD</t>
  </si>
  <si>
    <t>DEFICIENCIA DE DIHIDROLIPOAMIDA DESHIDROGENASA</t>
  </si>
  <si>
    <t>DMD</t>
  </si>
  <si>
    <t xml:space="preserve">DISTROFIA MUSCULAR DE BECKER </t>
  </si>
  <si>
    <t>DMP1</t>
  </si>
  <si>
    <t>RAQUITISMO HIPOFOSFATÉMICO AUTOSÓMICO RECESIVO TIPO 1</t>
  </si>
  <si>
    <t>DNAAF1</t>
  </si>
  <si>
    <t>DISCINESIA CILIAR, PRIMARIA, 13</t>
  </si>
  <si>
    <t>DNAAF11</t>
  </si>
  <si>
    <t>DISCINESIA CILIAR, PRIMARIA, 19</t>
  </si>
  <si>
    <t>DNAAF19</t>
  </si>
  <si>
    <t xml:space="preserve">DISCINESIA CILIAR PRIMARIA, 17 </t>
  </si>
  <si>
    <t>DNAAF2</t>
  </si>
  <si>
    <t>DISCINESIA CILIAR, PRIMARIA, 10</t>
  </si>
  <si>
    <t>DNAAF3</t>
  </si>
  <si>
    <t>DISCINESIA CILIAR, PRIMARIA, 2</t>
  </si>
  <si>
    <t>DNAAF4</t>
  </si>
  <si>
    <t>DISCINESIA CILIAR, PRIMARIA, 25</t>
  </si>
  <si>
    <t>DNAAF5</t>
  </si>
  <si>
    <t>DISCINESIA CILIAR, PRIMARIA, 18</t>
  </si>
  <si>
    <t>DNAH11</t>
  </si>
  <si>
    <t>DISCINESIA CILIAR, PRIMARIA, 7, CON O SIN SITUS INVERSUS</t>
  </si>
  <si>
    <t>DNAH5</t>
  </si>
  <si>
    <t>DISCINESIA CILIAR, PRIMARIA, 3, CON O SIN SITUS INVERSUS</t>
  </si>
  <si>
    <t>DNAH9</t>
  </si>
  <si>
    <t>DISCINESIA CILIAR, PRIMARIA, 40</t>
  </si>
  <si>
    <t>DNAI1</t>
  </si>
  <si>
    <t>DISCINESIA CILIAR, PRIMARIA, 1, CON O SIN SITUS INVERSUS (SÍNDROME DE KARTAGENER)</t>
  </si>
  <si>
    <t>DNAI2</t>
  </si>
  <si>
    <t>DISCINESIA CILIAR, PRIMARIA, 9, CON O SIN SITUS INVERSUS</t>
  </si>
  <si>
    <t>DNAJC12</t>
  </si>
  <si>
    <t>HIPERFENILALANINEMIA, LEVE, SIN DEFICIENCIA DE BH4</t>
  </si>
  <si>
    <t>DNAJC21</t>
  </si>
  <si>
    <t>SÍNDROME DE SHWACHMAN-DIAMOND RELACIONADO CON DNAJC21 – SÍNDROME DE INSUFICIENCIA MEDULAR ÓSEA TIPO 3</t>
  </si>
  <si>
    <t>DNAL1</t>
  </si>
  <si>
    <t>DISCINESIA CILIAR, PRIMARIA, 16</t>
  </si>
  <si>
    <t>DNASE1L3</t>
  </si>
  <si>
    <t xml:space="preserve">LUPUS ERITEMATOSO SISTÉMICO 16 </t>
  </si>
  <si>
    <t>DNMT3B</t>
  </si>
  <si>
    <t>SÍNDROME DE INMUNODEFICIENCIA-INESTABILIDAD CENTROMÉRICA-ANOMALÍAS FACIALES 1</t>
  </si>
  <si>
    <t>DOCK2</t>
  </si>
  <si>
    <t>INMUNODEFICIENCIA 40</t>
  </si>
  <si>
    <t>DOCK8</t>
  </si>
  <si>
    <t>SÍNDROME DE INFECCIÓN RECURRENTE HIPER-IGE</t>
  </si>
  <si>
    <t>DOK7</t>
  </si>
  <si>
    <t>SÍNDROME MIASTÉNICO CONGÉNITO TIPO 10</t>
  </si>
  <si>
    <t>DRC1</t>
  </si>
  <si>
    <t>DISCINESIA CILIAR, PRIMARIA, 21</t>
  </si>
  <si>
    <t>DRC2</t>
  </si>
  <si>
    <t xml:space="preserve">DISCINESIA CILIAR PRIMARIA, 27 </t>
  </si>
  <si>
    <t>DRC4</t>
  </si>
  <si>
    <t xml:space="preserve">DISCINESIA CILIAR PRIMARIA, 33 </t>
  </si>
  <si>
    <t>DUOX2</t>
  </si>
  <si>
    <t>HIPOTIROIDISMO CONGÉNITO 6</t>
  </si>
  <si>
    <t>DUOXA2</t>
  </si>
  <si>
    <t>HIPOTIROIDISMO CONGÉNITO 5</t>
  </si>
  <si>
    <t>EDA</t>
  </si>
  <si>
    <t>DISPLASIA ECTODÉRMICA 1, HIPOHIDRÓTICA, LIGADA AL CROMOSOMA X</t>
  </si>
  <si>
    <t>EDAR</t>
  </si>
  <si>
    <t>DISPLASIA ECTODÉRMICA 10A, TIPO HIPOHIDRÓTICO/CABELLO/UÑAS, AUTOSÓMICA DOMINANTE; DISPLASIA ECTODÉRMICA 10B, TIPO HIPOHIDRÓTICO/CABELLO/DIENTES, AUTOSÓMICA RECESIVA</t>
  </si>
  <si>
    <t>EDARADD</t>
  </si>
  <si>
    <t>DISPLASIA ECTODÉRMICA 11A, TIPO HIPOHIDRÓTICO/CABELLO/DIENTES, AUTOSÓMICA DOMINANTE; DISPLASIA ECTODÉRMICA 11B, TIPO HIPOHIDRÓTICO/CABELLO/DIENTES, AUTOSÓMICA RECESIVA</t>
  </si>
  <si>
    <t>EDN3</t>
  </si>
  <si>
    <t xml:space="preserve">SÍNDROME DE WAARDENBURG, TIPO 4B;  SUSCEPTIBILIDAD A ENFERMEDAD DE HIRSCHSPRUNG, 4 </t>
  </si>
  <si>
    <t>EDNRB</t>
  </si>
  <si>
    <t xml:space="preserve">SUSCEPTIBILIDAD A ENFERMEDAD DE HIRSCHSPRUNG, 2; SÍNDROME ABCD; SÍNDROME DE WAARDENBURG, TIPO 4A </t>
  </si>
  <si>
    <t>EFL1</t>
  </si>
  <si>
    <t>SÍNDROME DE SHWACHMAN-DIAMOND 2</t>
  </si>
  <si>
    <t>EIF2AK3</t>
  </si>
  <si>
    <t>DISPLASIA EPIFISARIA MÚLTIPLE CON DIABETES MELLITUS DE INICIO TEMPRANO, SÍNDROME DE WOLCOTT-RALLISON</t>
  </si>
  <si>
    <t>ELN</t>
  </si>
  <si>
    <t>CUTIS LAXA, AUTOSÓMICA DOMINANTE 1</t>
  </si>
  <si>
    <t>ENG</t>
  </si>
  <si>
    <t>TELANGIECTASIA, HEMORRÁGICA HEREDITARIA, TIPO 1</t>
  </si>
  <si>
    <t>ERCC2</t>
  </si>
  <si>
    <t>XERODERMA PIGMENTOSO, GRUPO D</t>
  </si>
  <si>
    <t>ERCC3</t>
  </si>
  <si>
    <t>XERODERMA PIGMENTOSO, GRUPO B</t>
  </si>
  <si>
    <t>ERCC4</t>
  </si>
  <si>
    <t>XERODERMA PIGMENTOSO, GRUPO F; ANEMIA DE FANCONI, GRUPO DE COMPLEMENTACION Q (FANCQ)</t>
  </si>
  <si>
    <t>ERCC5</t>
  </si>
  <si>
    <t>XERODERMA PIGMENTOSO, GRUPO G</t>
  </si>
  <si>
    <t>ESPN</t>
  </si>
  <si>
    <t xml:space="preserve">SORDERA AUTOSÓMICA RECESIVA 36; SÍNDROME DE USHER, TIPO 1M </t>
  </si>
  <si>
    <t>ESRRB</t>
  </si>
  <si>
    <t>SORDERA AUTOSÓMOCA RECESIVA 35</t>
  </si>
  <si>
    <t>ETFA</t>
  </si>
  <si>
    <t>ACIDEMIA GLUTARICA IIA</t>
  </si>
  <si>
    <t>ETFB</t>
  </si>
  <si>
    <t>ACIDEMIA GLUTARICA IIB</t>
  </si>
  <si>
    <t>ETFDH</t>
  </si>
  <si>
    <t>ACIDEMIA GLUTARICA IIC</t>
  </si>
  <si>
    <t>F10</t>
  </si>
  <si>
    <t>DEFICIENCIA DE FACTOR X</t>
  </si>
  <si>
    <t>F13A1</t>
  </si>
  <si>
    <t>DEFICIENCIA DE FACTOR XIIIA</t>
  </si>
  <si>
    <t>F13B</t>
  </si>
  <si>
    <t>DEFICIENCIA DE FACTOR XIIIB</t>
  </si>
  <si>
    <t>F2</t>
  </si>
  <si>
    <t>DEFICIENCIA DE PROTROMBINA, CONGÉNITA (DISPROTROMBINEMIA, HIPOPROTROMBINEMIA)</t>
  </si>
  <si>
    <t>F5</t>
  </si>
  <si>
    <t>DEFICIENCIA DE FACTOR V; TROMBOFILIA 2 POR RESISTENCIA A LA PROTEÍNA C ACTIVADA (HOMOCIGOTO)</t>
  </si>
  <si>
    <t>F7</t>
  </si>
  <si>
    <t>DEFICIENCIA DE FACTOR VII</t>
  </si>
  <si>
    <t>F8</t>
  </si>
  <si>
    <t>HEMOFILIA A</t>
  </si>
  <si>
    <t>F9</t>
  </si>
  <si>
    <t>HEMOFILIA B; TROMBOFILIA, LIGADA AL CROMOSOMA X, POR DEFECTO DEL FACTOR IX</t>
  </si>
  <si>
    <t>FAH</t>
  </si>
  <si>
    <t>TIROSINEMIA TIPO I</t>
  </si>
  <si>
    <t>FAM111A</t>
  </si>
  <si>
    <t>SÍNDROME KENNY-CAFFEY TIPO 2</t>
  </si>
  <si>
    <t>FANCA</t>
  </si>
  <si>
    <t>ANEMIA DE FANCONI, GRUPO DE COMPLEMENTACIÓN A (FANCA)</t>
  </si>
  <si>
    <t>FANCB</t>
  </si>
  <si>
    <t>ANEMIA DE FANCONI, GRUPO DE COMPLEMENTACIÓN B</t>
  </si>
  <si>
    <t>FANCC</t>
  </si>
  <si>
    <t>ANEMIA DE FANCONI, GRUPO DE COMPLEMENTACIÓN C (FANCC)</t>
  </si>
  <si>
    <t>FANCD2</t>
  </si>
  <si>
    <t>ANEMIA DE FANCONI, GRUPO DE COMPLEMENTACIÓN D2</t>
  </si>
  <si>
    <t>FANCE</t>
  </si>
  <si>
    <t>ANEMIA DE FANCONI, GRUPO DE COMPLEMENTACIÓN E</t>
  </si>
  <si>
    <t>FANCF</t>
  </si>
  <si>
    <t>ANEMIA DE FANCONI, GRUPO DE COMPLEMENTACIÓN F</t>
  </si>
  <si>
    <t>FANCG</t>
  </si>
  <si>
    <t>ANEMIA DE FANCONI, GRUPO DE COMPLEMENTACIÓN G (FANCG)</t>
  </si>
  <si>
    <t>FANCI</t>
  </si>
  <si>
    <t>ANEMIA DE FANCONI, GRUPO DE COMPLEMENTACIÓN I</t>
  </si>
  <si>
    <t>FANCL</t>
  </si>
  <si>
    <t>ANEMIA DE FANCONI, GRUPO DE COMPLEMENTACIÓN L</t>
  </si>
  <si>
    <t>FBN1</t>
  </si>
  <si>
    <t>SÍNDROME DE MARFAN TIPO 1 (MFS1)</t>
  </si>
  <si>
    <t>FBP1</t>
  </si>
  <si>
    <t>DEFICIENCIA DE FRUCTOSA BISFOSFATASA</t>
  </si>
  <si>
    <t>FCHO1</t>
  </si>
  <si>
    <t>INMUNODEFICIENCIA 76</t>
  </si>
  <si>
    <t>FERMT3</t>
  </si>
  <si>
    <t>DEFICIENCIA DE ADHESIÓN LEUCOCITARIA TIPO III</t>
  </si>
  <si>
    <t>FGA</t>
  </si>
  <si>
    <t>AFIBRINOGENEMIA CONGÉNITA RELACIONADA CON EL GEN FGA</t>
  </si>
  <si>
    <t>FGB</t>
  </si>
  <si>
    <t>AFIBRINOGENEMIA O HIPOFIBRINOGENEMIA CONGÉNITA RELACIONADA CON EL GEN FGB</t>
  </si>
  <si>
    <t>FGF23</t>
  </si>
  <si>
    <t>CALCINOSIS TUMORAL HIPERFOSFATÉMICA FAMILIAR TIPO 2</t>
  </si>
  <si>
    <t>FGF3</t>
  </si>
  <si>
    <t>SORDERA, CONGÉNITA CON AGENESIA DEL OÍDO INTERNO, MICROTIA Y MICRODONCIA</t>
  </si>
  <si>
    <t>FGFR3</t>
  </si>
  <si>
    <t>SÍNDROME DE MUENKE</t>
  </si>
  <si>
    <t>FGG</t>
  </si>
  <si>
    <t>AFIBRINOGENEMIA O HIPOFIBRINOGENEMIA CONGÉNITA RELACIONADA CON EL GEN FGG</t>
  </si>
  <si>
    <t>FH</t>
  </si>
  <si>
    <t>DEFICIENCIA DE FUMARASA</t>
  </si>
  <si>
    <t>FLAD1</t>
  </si>
  <si>
    <t>MIOPATÍA POR ALMACENAMIENTO DE LÍPIDOS POR DEFICIENCIA DE FLAVINA ADENINA DINUCLEÓTIDO SINTETASA (LSMFLAD)</t>
  </si>
  <si>
    <t>FOLR1</t>
  </si>
  <si>
    <t>NEURODEGENERACIÓN POR DEFICIENCIA EN EL TRANSPORTE DE FOLATO CEREBRAL</t>
  </si>
  <si>
    <t>FOXE1</t>
  </si>
  <si>
    <t>SÍNDROME DE BAMFORTH-LAZARUS</t>
  </si>
  <si>
    <t>FOXJ1</t>
  </si>
  <si>
    <t>DISCINESIA CILIAR, PRIMARIA, 43</t>
  </si>
  <si>
    <t>FOXN1</t>
  </si>
  <si>
    <t>INMUNODEFICIENCIA DE CÉLULA T, ALOPECIA CONGÉNITA Y DISTROFIA DE UÑAS; LINFOPENIA DE LINFOCITOS T INFANTIL, CON O SIN DISTROFIA UNGUEAL, AUTOSÓMICA DOMINANTE</t>
  </si>
  <si>
    <t>FOXP3</t>
  </si>
  <si>
    <t>DESREGULACIÓN INMUNITARIA LIGADA AL CROMOSOMA X, POLIENDOCRINOPATÍA Y ENTEROPATÍA</t>
  </si>
  <si>
    <t>FTCD</t>
  </si>
  <si>
    <t>DEFICIENCIA DE GLUTAMATO FORMIMINOTRANSFERASA</t>
  </si>
  <si>
    <t>G6PC1</t>
  </si>
  <si>
    <t>ENFERMEDAD POR ALMACENAMIENTO DE GLUCÓGENO IA</t>
  </si>
  <si>
    <t>G6PC3</t>
  </si>
  <si>
    <t xml:space="preserve">NEUTROPENIA, CONGÉNITA GRAVE 4, AUTOSÓMICA RECESIVA; SÍNDROME DE DURSUN </t>
  </si>
  <si>
    <t>G6PD</t>
  </si>
  <si>
    <t>ANEMIA CONGÉNITA HEMOLÍTICA NO ESFEROCÍTICA TIPO 1</t>
  </si>
  <si>
    <t>GAA</t>
  </si>
  <si>
    <t>ENFERMEDAD POR ALMACENAMIENTO DE GLUCÓGENO II (POMPE)</t>
  </si>
  <si>
    <t>GALC</t>
  </si>
  <si>
    <t>ENFERMEDAD DE KRABBE</t>
  </si>
  <si>
    <t>GALE</t>
  </si>
  <si>
    <t>GALACTOSEMIA POR DEFICIENCIA DE EPIMERASA</t>
  </si>
  <si>
    <t>GALK1</t>
  </si>
  <si>
    <t>GALACTOSEMIA POR DEFICIENCIA DE GALACTOQUINASA (GALK)</t>
  </si>
  <si>
    <t>GALM</t>
  </si>
  <si>
    <t>GALACTOSEMIA POR DEFICIENCIA DE MUTAROTASA (GALM) GALACTOSEMIA IV</t>
  </si>
  <si>
    <t>GALNS</t>
  </si>
  <si>
    <t>MUCOPOLISACARIDOSIS TIPO IVA</t>
  </si>
  <si>
    <t>GALNT3</t>
  </si>
  <si>
    <t>CALCINOSIS TUMORAL HIPERFOSFATÉMICA FAMILIAR TIPO 1</t>
  </si>
  <si>
    <t>GALT</t>
  </si>
  <si>
    <t>GALACTOSEMIA POR DEFICIENCIA DE GALACTOSA-1-P-URIDIL TRANSFERASA (CLÁSICA) (GALT)</t>
  </si>
  <si>
    <t>GAMT</t>
  </si>
  <si>
    <t>SÍNDROME DE DEFICIENCIA DE CREATINA CEREBRAL 2</t>
  </si>
  <si>
    <t>GATA2</t>
  </si>
  <si>
    <t>INMUNODEFICIENCIA 21</t>
  </si>
  <si>
    <t>GATM</t>
  </si>
  <si>
    <t>SÍNDROME DE DEFICIENCIA DE CREATINA CEREBRAL 3</t>
  </si>
  <si>
    <t>GBA1</t>
  </si>
  <si>
    <t>ENFERMEDAD DE GAUCHER (PERINATAL LETAL, TIPO I, TIPO II, TIPO III, TIPO IIIC)</t>
  </si>
  <si>
    <t>GCDH</t>
  </si>
  <si>
    <t>ACIDURIA GLUTÁRICA TIPO I (GA 1)</t>
  </si>
  <si>
    <t>GCH1</t>
  </si>
  <si>
    <t>HIPERFENILALANINEMIA, DEFICIENCIA DE BH4, B; DISTONÍA, SENSIBLE A DOPA, CON O SIN HIPERFENILALANINEMIA</t>
  </si>
  <si>
    <t>GCK</t>
  </si>
  <si>
    <t>DIABETES MELLITUS PERMANENTE NEONATAL 1; HIPOGLUCEMIA HIPERINSULINÉMICA FAMILIAR TIPO 3</t>
  </si>
  <si>
    <t>GCM2</t>
  </si>
  <si>
    <t>HIPOPARATIROIDISMO AISLADO FAMILIAR 2, AUTOSÓMICO RECESIVO</t>
  </si>
  <si>
    <t>GGCX</t>
  </si>
  <si>
    <t xml:space="preserve">DEFICIENCIA COMBINADA DE FACTORES DE COAGULACIÓN DEPENDIENTES DE LA VITAMINA K, 1; TRASTORNO SIMILAR AL PSEUDOXANTOMA ELÁSTICO CON DEFICIENCIA DE MÚLTIPLES FACTORES DE COAGULACIÓN. </t>
  </si>
  <si>
    <t>GH1</t>
  </si>
  <si>
    <t>DEFICIENCIA AISLADA DE HORMONA DE CRECIMIENTO TIPO 1A, AUTOSÓMICA RECESIVA; DEFICIENCIA AISLADA DE HORMONA DE CRECIMIENTO TIPO 1B, AUTOSÓMICA RECESIVA; DEFICIENCIA AISLADA DE HORMONA DE CRECIMIENTO TIPO II, AUTOSÓMICA DOMINANTE</t>
  </si>
  <si>
    <t>GHR</t>
  </si>
  <si>
    <t>INSENSIBILIDAD PARCIAL A LA HORMONA DE CRECIMIENTO</t>
  </si>
  <si>
    <t>GHRHR</t>
  </si>
  <si>
    <t>DEFICIENCIA AISLADA DE HORMONA DE CRECIMIENTO TIPO 4</t>
  </si>
  <si>
    <t>GIPC3</t>
  </si>
  <si>
    <t>SORDERA NO SINDRÓMICA, AUTOSÓMICA RECESIVA 15</t>
  </si>
  <si>
    <t>GJB2</t>
  </si>
  <si>
    <t>SORDERA NO SINDRÓMICA, AUTOSÓMICA RECESIVA 1A; SORDERA RELACIONADA CON GJB2 Y TRASTORNOS RELACIONADOS (SORDERA NO SINDRÓMICA, AUTOSÓMICA DOMINANTE 3A)</t>
  </si>
  <si>
    <t>GJB6</t>
  </si>
  <si>
    <t>SORDERA NO SINDRÓMICA, AUTOSÓMICA RECESIVA 1B</t>
  </si>
  <si>
    <t>GLA</t>
  </si>
  <si>
    <t>ENFERMEDAD DE FABRY</t>
  </si>
  <si>
    <t>GLIS3</t>
  </si>
  <si>
    <t xml:space="preserve">DIABETES MELLITUS NEONATAL CON HIPOTIROIDISMO CONGÉNITO </t>
  </si>
  <si>
    <t>GLUD1</t>
  </si>
  <si>
    <t>SÍNDROME DE HIPERINSULINISMO-HIPERAMONEMIA</t>
  </si>
  <si>
    <t>GP1BA</t>
  </si>
  <si>
    <t>SÍNDROME DE BERNARD-SOULIER, TIPO A1/A2; PSEUDO - ENFERMEDAD DE VON WILLEBRAND, TIPO PLAQUETAS</t>
  </si>
  <si>
    <t>GP1BB</t>
  </si>
  <si>
    <t>SÍNDROME DE BERNARD-SOULIER, TIPO B</t>
  </si>
  <si>
    <t>GP9</t>
  </si>
  <si>
    <t>SÍNDROME DE BERNARD-SOULIER, TIPO C</t>
  </si>
  <si>
    <t>GPIHBP1</t>
  </si>
  <si>
    <t>HIPERLIPOPROTEINEMIA TIPO 1D</t>
  </si>
  <si>
    <t>GPR101</t>
  </si>
  <si>
    <t>ADENOMA HIPOFISARIO SECRETOR DE HORMONA DE CRECIMIENTO TIPO 2</t>
  </si>
  <si>
    <t>GPSM2</t>
  </si>
  <si>
    <t xml:space="preserve">SÍNDROME DE CHUDLEY-MCCULLOUGH </t>
  </si>
  <si>
    <t>GRHPR</t>
  </si>
  <si>
    <t>HIPEROXALURIA, PRIMARIA, TIPO II</t>
  </si>
  <si>
    <t>GRIN1</t>
  </si>
  <si>
    <t xml:space="preserve">TRASTORNO DEL NEURODESARROLLO CON O SIN MOVIMIENTOS HIPERCINÉTICOS Y CONVULSIONES, AUTOSÓMICO RECESIVO; TRASTORNO DEL NEURODESARROLLO CON O SIN MOVIMIENTOS HIPERCINÉTICOS Y CONVULSIONES, AUTOSÓMICO DOMINANTE. </t>
  </si>
  <si>
    <t>GRIN2A</t>
  </si>
  <si>
    <t xml:space="preserve">EPILEPSIA FOCAL, CON TRASTORNO DEL HABLA Y CON O SIN DETERIORO DEL DESARROLLO INTELECTUAL. </t>
  </si>
  <si>
    <t>GRIN2B</t>
  </si>
  <si>
    <t xml:space="preserve">TRASTORNO DEL DESARROLLO INTELECTUAL, AUTOSÓMICO DOMINANTE 6, CON O SIN CONVULSIONES. </t>
  </si>
  <si>
    <t>GRIN2D</t>
  </si>
  <si>
    <t xml:space="preserve">ENCEFALOPATÍA DEL DESARROLLO Y EPILÉPTICA 46 </t>
  </si>
  <si>
    <t>GRXCR1</t>
  </si>
  <si>
    <t>SORDERA NO SINDRÓMICA, AUTOSÓMICA RECESIVA 25</t>
  </si>
  <si>
    <t>GSS</t>
  </si>
  <si>
    <t>DEFICIENCIA DE GLUTATIÓN SINTETASA</t>
  </si>
  <si>
    <t>GUSB</t>
  </si>
  <si>
    <t>MUCOPOLISACARIDOSIS VII</t>
  </si>
  <si>
    <t>GYS2</t>
  </si>
  <si>
    <t xml:space="preserve">ENFERMEDAD DE ALMACENAMIENTO DE GLUCÓGENO 0, HÍGADO </t>
  </si>
  <si>
    <t>HADH</t>
  </si>
  <si>
    <t>DEFICIENCIA DE 3-HIDROXI ACIL COA DESHIDROGENASA DE ÁCIDOS GRASOS DE CADENA LARGA (LCHAD); DEFICIENCIA DE PROTEÍNA TRIFUNCIONAL MITOCONDRIAL 1; DEFICIENCIA DE PROTEÍNA TRIFUNCIONAL MITOCONDRIAL</t>
  </si>
  <si>
    <t>HADHA</t>
  </si>
  <si>
    <t>DEFICIENCIA DE 3-HIDROXIACIL-COA DESHIDROGENASA DE CADENA LARGA</t>
  </si>
  <si>
    <t>HADHB</t>
  </si>
  <si>
    <t>DEFICIENCIA DE PROTEÍNA TRIFUNCIONAL (TFP)</t>
  </si>
  <si>
    <t>HAMP</t>
  </si>
  <si>
    <t xml:space="preserve">HEMOCROMATOSIS TIPO 2B </t>
  </si>
  <si>
    <t>HARS2</t>
  </si>
  <si>
    <t>SÍNDROME DE PERRAULT 2</t>
  </si>
  <si>
    <t>HAVCR2</t>
  </si>
  <si>
    <t xml:space="preserve">LINFOMA DE CÉLULAS T, SIMILAR A LA PANICULITIS SUBCUTÁNEA </t>
  </si>
  <si>
    <t>HAX1</t>
  </si>
  <si>
    <t xml:space="preserve">NEUTROPENIA, CONGÉNITA GRAVE 3, AUTOSÓMICA RECESIVA </t>
  </si>
  <si>
    <t>HBA1</t>
  </si>
  <si>
    <t xml:space="preserve">ENFERMEDAD DE LA HEMOGLOBINA H, NO DELECIONAL; TALASEMIA, ALFA- </t>
  </si>
  <si>
    <t>HBA2</t>
  </si>
  <si>
    <t xml:space="preserve">ENFERMEDAD DE LA HEMOGLOBINA H, DELECIONAL Y NO DELECIONAL; TALASEMIA, ALFA- </t>
  </si>
  <si>
    <t>HBB</t>
  </si>
  <si>
    <t>ANEMIA FALCIFORME (SICKLE CELL ANEMIA); TALASEMIAS, BETA- (MAYOR, AR)</t>
  </si>
  <si>
    <t>HCFC1</t>
  </si>
  <si>
    <t>ACIDEMIA METILMALÓNICA CON HOMOCISTINURIA, TIPO CBLX</t>
  </si>
  <si>
    <t>HELLS</t>
  </si>
  <si>
    <t>SÍNDROME DE INMUNODEFICIENCIA, INESTABILIDAD CENTROMÉRICA Y ANOMALÍAS FACIALES TIPO 4</t>
  </si>
  <si>
    <t>HESX1</t>
  </si>
  <si>
    <t>DEFICIENCIA COMBINADA DE HORMONAS HIPOFISARIAS TIPO 5</t>
  </si>
  <si>
    <t>HGD</t>
  </si>
  <si>
    <t>ALCAPTONURIA</t>
  </si>
  <si>
    <t>HGF</t>
  </si>
  <si>
    <t>SORDERA NO SINDRÓMICA, AUTOSÓMICA RECESIVA 39</t>
  </si>
  <si>
    <t>HIBCH</t>
  </si>
  <si>
    <t>3-HYDROXYISOBUTRYL-COA HYDROLASE DEFICIENCY</t>
  </si>
  <si>
    <t>HLCS</t>
  </si>
  <si>
    <t>DEFICIENCIA DE HOLOCARBOXILASA SINTETASA</t>
  </si>
  <si>
    <t>HMBS</t>
  </si>
  <si>
    <t xml:space="preserve">LEUCOENCEFALOPATÍA RELACIONADA CON LA PORFIRIA; ENCEFALOPATÍA RELACIONADA CON LA PORFIRIA; PORFIRIA AGUDA INTERMITENTE; PORFIRIA AGUDA INTERMITENTE, VARIANTE NO ERITROIDE </t>
  </si>
  <si>
    <t>HMGCL</t>
  </si>
  <si>
    <t>ACIDURIA 3-HIDROXI-3-METILGLUTÁRICA</t>
  </si>
  <si>
    <t>HMGCS2</t>
  </si>
  <si>
    <t>DEFICIENCIA DE HMG-COA SINTASA-2</t>
  </si>
  <si>
    <t>HNF1A</t>
  </si>
  <si>
    <t xml:space="preserve">DIABETES MELLITUS INSULINODEPENDIENTE-1 </t>
  </si>
  <si>
    <t>HNF1B</t>
  </si>
  <si>
    <t xml:space="preserve">SÍNDROME DE QUISTES RENALES Y DIABETES </t>
  </si>
  <si>
    <t>HNF4A</t>
  </si>
  <si>
    <t xml:space="preserve">SÍNDROME RENOTUBULAR DE FANCONI 4, CON DIABETES DE INICIO EN LA MADUREZ DE LOS JÓVENES. </t>
  </si>
  <si>
    <t>HOGA1</t>
  </si>
  <si>
    <t>HIPEROXALURIA, PRIMARIA, TIPO III</t>
  </si>
  <si>
    <t>HPD</t>
  </si>
  <si>
    <t>TIROSINEMIA TIPO III</t>
  </si>
  <si>
    <t>HPRT1</t>
  </si>
  <si>
    <t>HIPERURICEMIA, RELACIONADA CON HRPT</t>
  </si>
  <si>
    <t>HSD11B2</t>
  </si>
  <si>
    <t>EXCESO APARENTE DE MINERALOCORTICOIDES</t>
  </si>
  <si>
    <t>HSD3B2</t>
  </si>
  <si>
    <t>HIPERPLASIA CONGENITA ADRENAL POR DEFICIENCIA DE 3-BETA-HIDROXIESTEROIDE DESHIDROGENASA 2</t>
  </si>
  <si>
    <t>HSD3B7</t>
  </si>
  <si>
    <t>DEFECTO DE LA SÍNTESIS DE ÁCIDOS BILIARES, CONGÉNITO, 1</t>
  </si>
  <si>
    <t>HYDIN</t>
  </si>
  <si>
    <t>DISCINESIA CILIAR, PRIMARIA, 5</t>
  </si>
  <si>
    <t>IDH2</t>
  </si>
  <si>
    <t>ACIDURIA D-2-HIDROXIGLUTÁRICA 2</t>
  </si>
  <si>
    <t>IDS</t>
  </si>
  <si>
    <t>MUCOPOLISACARIDOSIS TIPO II (HUNTER)</t>
  </si>
  <si>
    <t>IDUA</t>
  </si>
  <si>
    <t>MUCOPOLISACARIDOSIS TIPO I (HURLER); I H/S (HURLER-SCHEIE); I S (SCHEIE)</t>
  </si>
  <si>
    <t>IFITM5</t>
  </si>
  <si>
    <t xml:space="preserve">OSTEOGÉNESIS IMPERFECTA, TIPO V </t>
  </si>
  <si>
    <t>IFNGR1</t>
  </si>
  <si>
    <t>INMUNODEFICIENCIA 27A, ASOCIADA A MICOBACTERIOSIS, AUTOSÓMICA RECESIVA; INMUNODEFICIENCIA 27B, ASOCIADA A MICOBACTERIOSIS, AUTOSÓMICA DOMINANTE</t>
  </si>
  <si>
    <t>IFNGR2</t>
  </si>
  <si>
    <t>INMUNODEFICIENCIA 28, ASOCIADA A MICOBACTERIOSIS</t>
  </si>
  <si>
    <t>IGF1</t>
  </si>
  <si>
    <t>DEFICIENCIA DE FACTOR DE CRECIMIENTO SIMILAR A LA INSULINA TIPO I (IGF-I)</t>
  </si>
  <si>
    <t>IGLL1</t>
  </si>
  <si>
    <t>AGAMMAGLOBULINEMIA 2</t>
  </si>
  <si>
    <t>IGSF1</t>
  </si>
  <si>
    <t>HIPOTIROIDISMO CONGÉNITO, OTRO (XL)</t>
  </si>
  <si>
    <t>IKBKB</t>
  </si>
  <si>
    <t>INMUNODEFICIENCIA 15B; 15A</t>
  </si>
  <si>
    <t>IKBKG</t>
  </si>
  <si>
    <t>INMUNODEFICIENCIA 33</t>
  </si>
  <si>
    <t>IL10RA</t>
  </si>
  <si>
    <t>ENFERMEDAD INFLAMATORIA INTESTINAL 28 DE INICIO TEMPRANO, AUTOSÓMICA RECESIVA</t>
  </si>
  <si>
    <t>IL10RB</t>
  </si>
  <si>
    <t>ENFERMEDAD INFLAMATORIA INTESTINAL 25 DE INICIO TEMPRANO, AUTOSÓMICA RECESIVA</t>
  </si>
  <si>
    <t>IL21R</t>
  </si>
  <si>
    <t>INMUNODEFICIENCIA 56, PRIMARY, AUTOSÓMICA RECESIVA, RELACIONADA CON IL21R</t>
  </si>
  <si>
    <t>IL2RA</t>
  </si>
  <si>
    <t>INMUNODEFICIENCIA 41 CON LINFOPROLIFERACIÓN Y AUTOINMUNIDAD</t>
  </si>
  <si>
    <t>IL2RB</t>
  </si>
  <si>
    <t>INMUNODEFICIENCIA 63 CON LINFOPROLIFERACIÓN Y AUTOINMUNIDAD</t>
  </si>
  <si>
    <t>IL2RG</t>
  </si>
  <si>
    <t>INMUNODEFICIENCIA COMBINADA GRAVE LIGADA AL CROMOSOMA X</t>
  </si>
  <si>
    <t>IL7R</t>
  </si>
  <si>
    <t>INMUNODEFICIENCIA COMBINADA SEVERA 104</t>
  </si>
  <si>
    <t>ILDR1</t>
  </si>
  <si>
    <t>SORDERA AUTOSÓMICA RECESIVA 42</t>
  </si>
  <si>
    <t>INS</t>
  </si>
  <si>
    <t>DIABETES MELLITUS PERMANENTE NEONATAL 4</t>
  </si>
  <si>
    <t>IRAK4</t>
  </si>
  <si>
    <t>INMUNODEFICIENCIA 67</t>
  </si>
  <si>
    <t>IRF8</t>
  </si>
  <si>
    <t>INMUNODEFICIENCIA 32B, DEFICIENCIA DE MONOCITOS Y CÉLULAS DENDRÍTICAS, AUTOSÓMICA RECESIVA</t>
  </si>
  <si>
    <t>IRS4</t>
  </si>
  <si>
    <t>HIPOTIROIDISMO CONGÉNITO NO BOCIÓGENO TIPO 9</t>
  </si>
  <si>
    <t>ITGA2B</t>
  </si>
  <si>
    <t>TROMBASTENIA DE GLANZMANN 1; TRASTORNO HEMORRÁGICO TIPO PLAQUETARIO 16, AUTOSÓMICO DOMINANTE</t>
  </si>
  <si>
    <t>ITGB2</t>
  </si>
  <si>
    <t>DEFICIENCIA DE ADHESIÓN LEUCOCITARIA TIPO I</t>
  </si>
  <si>
    <t>ITGB3</t>
  </si>
  <si>
    <t>TROMBASTENIA DE GLANZMANN 2; TRASTORNO HEMORRÁGICO, TIPO PLAQUETARIO, 16</t>
  </si>
  <si>
    <t>ITK</t>
  </si>
  <si>
    <t>SÍNDROME LINFOPROLIFERATIVO 1 RELACIONADO CON ITK</t>
  </si>
  <si>
    <t>IVD</t>
  </si>
  <si>
    <t>ACIDEMIA ISOVALERICA</t>
  </si>
  <si>
    <t>IYD</t>
  </si>
  <si>
    <t>HIPOTIROIDISMO CONGÉNITO (DISHORMONOGÉNESIS TIROIDEA FAMILIAR 4)</t>
  </si>
  <si>
    <t>JAK3</t>
  </si>
  <si>
    <t>INMUNODEFICIENCIA COMBINADA SEVERA RELACIONADA CON JAK3, TIPO T-NEGATIVO/B-POSITIVO</t>
  </si>
  <si>
    <t>KCNH2</t>
  </si>
  <si>
    <t xml:space="preserve">SÍNDROME DE QT CORTO TIPO 1 </t>
  </si>
  <si>
    <t>KCNJ1</t>
  </si>
  <si>
    <t>SÍNDROME DE BARTTER TIPO 2</t>
  </si>
  <si>
    <t>KCNJ10</t>
  </si>
  <si>
    <t>SÍNDROME DE SESAME</t>
  </si>
  <si>
    <t>KCNJ11</t>
  </si>
  <si>
    <t>HIPOGLUCEMIA HIPERINSULINÉMICA, FAMILIAR 2; DIABETES MELLITUS TRANSITORIA 3 Y PERMANENTE NEONATAL 2 CON CARACTERÍSTICAS NEUROLÓGICAS; DIABETES DE INICIO EN LA MADUREZ DEL JOVEN (MODY), TIPO 13</t>
  </si>
  <si>
    <t>KCNJ2</t>
  </si>
  <si>
    <t xml:space="preserve">SÍNDROME DE QT CORTO 3 </t>
  </si>
  <si>
    <t>KCNQ1</t>
  </si>
  <si>
    <t>SÍNDROME DE JERVELL AND LANGE-NIELSEN; SÍNDROME DE ROMANO-WARD SÍNDROME DE QT LARGO 1</t>
  </si>
  <si>
    <t>KCNQ2</t>
  </si>
  <si>
    <t>ENCEFALOPATÍA DEL DESARROLLO Y EPILÉPTICA 7</t>
  </si>
  <si>
    <t>KLHL3</t>
  </si>
  <si>
    <t>PSEUDOHIPOALDOSTERONISMO TIPO IID, AUTOSÓMICO RECESIVO</t>
  </si>
  <si>
    <t>KRAS</t>
  </si>
  <si>
    <t>SÍNDROME DE NOONAN 3</t>
  </si>
  <si>
    <t>LAMP2</t>
  </si>
  <si>
    <t xml:space="preserve">ENFERMEDAD DE DANON </t>
  </si>
  <si>
    <t>LAT</t>
  </si>
  <si>
    <t>INMUNODEFICIENCIA 52</t>
  </si>
  <si>
    <t>LCK</t>
  </si>
  <si>
    <t>INMUNODEFICIENCIA 22</t>
  </si>
  <si>
    <t>LDLR</t>
  </si>
  <si>
    <t>HIPERCOLESTEROLEMIA FAMILIAR HETEROCIGOTA 1: HIPERCOLESTEROLEMIA FAMILIAR HOMOCIGOTA 1</t>
  </si>
  <si>
    <t>LDLRAP1</t>
  </si>
  <si>
    <t>HIPERCOLESTEROLEMIA, FAMILIAR, 4</t>
  </si>
  <si>
    <t>LEP</t>
  </si>
  <si>
    <t>DEFICIENCIA O DISFUNCIÓN DE LEPTINA / OBESIDAD MÓRBIDA DEBIDA A DEFICIENCIA DE LEPTINA</t>
  </si>
  <si>
    <t>LEPR</t>
  </si>
  <si>
    <t>DEFICIENCIA DEL RECEPTOR DE LEPTINA / OBESIDAD MÓRBIDA DEBIDA A DEFICIENCIA DEL RECEPTOR DE LEPTINA</t>
  </si>
  <si>
    <t>LHFPL5</t>
  </si>
  <si>
    <t>SORDERA AUTOSÓMOCA RECESIVA 67</t>
  </si>
  <si>
    <t>LHX3</t>
  </si>
  <si>
    <t>DEFICIENCIA DE HORMONA PITUITARIA, COMBINADA, 3</t>
  </si>
  <si>
    <t>LHX4</t>
  </si>
  <si>
    <t>DEFICIENCIA DE HORMONA PITUITARIA, COMBINADA, 4</t>
  </si>
  <si>
    <t>LIG1</t>
  </si>
  <si>
    <t>INMUNODEFICIENCIA 96</t>
  </si>
  <si>
    <t>LIG4</t>
  </si>
  <si>
    <t>SÍNDROME LIG4</t>
  </si>
  <si>
    <t>LIPA</t>
  </si>
  <si>
    <t>ENFERMEDAD DE WOLMAN; ENFERMEDAD POR ALMACENAMIENTO DE ÉSTER DE COLESTEROL (LIPASA ÁCIDA LISOSOMAL)</t>
  </si>
  <si>
    <t>LMBRD1</t>
  </si>
  <si>
    <t>ACIDEMIA METILMALÓNICA CON HOMOCISTINURIA, TIPO CBLF</t>
  </si>
  <si>
    <t>LMF1</t>
  </si>
  <si>
    <t>DEFICIENCIA DE LIPASA COMBINADA</t>
  </si>
  <si>
    <t>LMNA</t>
  </si>
  <si>
    <t xml:space="preserve">DERMOPATÍA RESTRICTIVA 2; SÍNDROME DE MALOUF </t>
  </si>
  <si>
    <t>LOXHD1</t>
  </si>
  <si>
    <t>SORDERA NO SINDRÓMICA, AUTOSÓMICA RECESIVA 77</t>
  </si>
  <si>
    <t>LPIN1</t>
  </si>
  <si>
    <t>MIOGLOBINURIA, RECURRENTE AGUDA</t>
  </si>
  <si>
    <t>LPL</t>
  </si>
  <si>
    <t>DEFICIENCIA DE LIPOPROTEÍNA LIPASA</t>
  </si>
  <si>
    <t>LRP5</t>
  </si>
  <si>
    <t>SÍNDROME DE OSTEOPOROSIS-PSEUDOGLIOMA</t>
  </si>
  <si>
    <t>LRRC8A</t>
  </si>
  <si>
    <t>AGAMMAGLOBULINEMIA 5 (PROVISIONAL)</t>
  </si>
  <si>
    <t>LRTOMT</t>
  </si>
  <si>
    <t xml:space="preserve">SORDERA AUTOSÓMICA RECESIVA 63 </t>
  </si>
  <si>
    <t>LTBP4</t>
  </si>
  <si>
    <t xml:space="preserve">CUTIS LAXA, AUTOSÓMICA RECESIVA, TIPO IC </t>
  </si>
  <si>
    <t>LYST</t>
  </si>
  <si>
    <t>SÍNDROME DE CHEDIAK-HIGASHI</t>
  </si>
  <si>
    <t>LZTR1</t>
  </si>
  <si>
    <t>SÍNDROME DE NOONAN 2</t>
  </si>
  <si>
    <t>MAGED2</t>
  </si>
  <si>
    <t xml:space="preserve">SÍNDROME DE BARTTER, TIPO 5, PRENATAL, TRANSITORIO </t>
  </si>
  <si>
    <t>MAGT1</t>
  </si>
  <si>
    <t>INMUNODEFICIENCIA LIGADA AL CROMOSOMA X CON DEFECTO DE MAGNESIO, INFECCIÓN POR EL VIRUS DE EPSTEIN-BARR Y NEOPLASIA (XMEN); TRASTORNO CONGÉNITO DE LA GLICOSILACIÓN, TIPO ICC</t>
  </si>
  <si>
    <t>MAN2B1</t>
  </si>
  <si>
    <t>MANOSIDOSIS, ALFA-, TIPOS I Y II, FORMA INFANTIL</t>
  </si>
  <si>
    <t>MAP2K1</t>
  </si>
  <si>
    <t xml:space="preserve">SÍNDROME CARDIOFACIOCUTÁNEO 3 </t>
  </si>
  <si>
    <t>MARVELD2</t>
  </si>
  <si>
    <t>SORDERA AUTOSÓMOCA RECESIVA 49</t>
  </si>
  <si>
    <t>MC2R</t>
  </si>
  <si>
    <t>DEFICIENCIA DE GLUCOCORTICOIDES, DEBIDO A FALTA DE RESPUESTA A ACTH</t>
  </si>
  <si>
    <t>MCEE</t>
  </si>
  <si>
    <t>DEFICIENCIA DE METILMALONIL-COA EPIMERASA</t>
  </si>
  <si>
    <t>MCIDAS</t>
  </si>
  <si>
    <t>DISCINESIA CILIAR, PRIMARIA 42</t>
  </si>
  <si>
    <t>MCM4</t>
  </si>
  <si>
    <t>INMUNODEFICIENCIA 54</t>
  </si>
  <si>
    <t>MCOLN1</t>
  </si>
  <si>
    <t>MUCOLIPIDOSIS IV</t>
  </si>
  <si>
    <t>MITF</t>
  </si>
  <si>
    <t>SÍNDROME DE WAARDENBURG, TIPO 2A</t>
  </si>
  <si>
    <t>MLYCD</t>
  </si>
  <si>
    <t>DEFICIENCIA DE MALONIL-COA DESCARBOXILASA</t>
  </si>
  <si>
    <t>MMAA</t>
  </si>
  <si>
    <t>ACIDEMIA METILMALÓNICA SIN HOMOCISTINURIA, TIPO CBLA</t>
  </si>
  <si>
    <t>MMAB</t>
  </si>
  <si>
    <t>ACIDEMIA METILMALÓNICA SIN HOMOCISTINURIA, TIPO CBLB</t>
  </si>
  <si>
    <t>MMACHC</t>
  </si>
  <si>
    <t>ACIDEMIA METILMALÓNICA CON HOMOCISTINURIA, TIPO CBLC</t>
  </si>
  <si>
    <t>MMADHC</t>
  </si>
  <si>
    <t xml:space="preserve">ACIDEMIA METILMALÓNICA CON Y SIN HOMOCISTINURIA, TIPO CBLD; HOMOCISTINURIA-ANEMIA MEGALOBLÁSTICA TIPO CBLD </t>
  </si>
  <si>
    <t>MMUT</t>
  </si>
  <si>
    <t>ACIDEMIA METILMALÓNICA SIN HOMOCISTINURIA, MUT(0) TIPO</t>
  </si>
  <si>
    <t>MOCS1</t>
  </si>
  <si>
    <t>DEFICIENCIA DEL COFACTOR A DE MOLIBDENO</t>
  </si>
  <si>
    <t>MOCS2</t>
  </si>
  <si>
    <t>MOLYBDENUM COFACTOR DEFICIENCY B</t>
  </si>
  <si>
    <t>MPI</t>
  </si>
  <si>
    <t>TRASTORNO CONGÉNITO DE LA GLICOSILACIÓN, TIPO IB</t>
  </si>
  <si>
    <t>MRAP</t>
  </si>
  <si>
    <t>DEFICIENCIA FAMILIAR DE GLUCOCORTICOIDES TIPO 2, RELACIONADA CON MRAP</t>
  </si>
  <si>
    <t>MS4A1</t>
  </si>
  <si>
    <t xml:space="preserve">INMUNODEFICIENCIA, VARIABLE COMÚN, 5  </t>
  </si>
  <si>
    <t>MSRB3</t>
  </si>
  <si>
    <t>SORDERA NO SINDRÓMICA, AUTOSÓMICA RECESIVA 74</t>
  </si>
  <si>
    <t>MTHFD1</t>
  </si>
  <si>
    <t>INMUNODEFICIENCIA COMBINADA Y ANEMIA MEGALOBLÁSTICA CON O SIN HIPERHOMOCISTEINEMIA</t>
  </si>
  <si>
    <t>MTHFR</t>
  </si>
  <si>
    <t>HOMOCISTINURIA POR DEFICIENCIA DE MTHFR</t>
  </si>
  <si>
    <t>MTR</t>
  </si>
  <si>
    <t>HOMOCISTINURIA-ANEMIA MEGALOBLÁSTICA TIPO COMPLEMENTACIÓN CBLG</t>
  </si>
  <si>
    <t>MTRR</t>
  </si>
  <si>
    <t>HOMOCISTINURIA-ANEMIA MEGALOBLÁSTICA, TIPO CBL E</t>
  </si>
  <si>
    <t>MTTP</t>
  </si>
  <si>
    <t>ABETALIPOPROTEINEMIA</t>
  </si>
  <si>
    <t>MUSK</t>
  </si>
  <si>
    <t>SÍNDROME MIASTÉNICO CONGÉNITO TIPO 9, ASOCIADO A DEFICIENCIA DEL RECEPTOR DE ACETILCOLINA</t>
  </si>
  <si>
    <t>MYBPC3</t>
  </si>
  <si>
    <t xml:space="preserve">NO COMPACTACIÓN DEL VENTRÍCULO IZQUIERDO 10; CARDIOMIOPATÍA DILATADA, 1 MM </t>
  </si>
  <si>
    <t>MYD88</t>
  </si>
  <si>
    <t>INMUNODEFICIENCIA 68</t>
  </si>
  <si>
    <t>MYH7</t>
  </si>
  <si>
    <t xml:space="preserve">CARDIOMIOPATÍA HIPERTRÓFICA, 1 </t>
  </si>
  <si>
    <t>MYO15A</t>
  </si>
  <si>
    <t>SORDERA NO SINDRÓMICA, AUTOSÓMICA RECESIVA 3</t>
  </si>
  <si>
    <t>MYO6</t>
  </si>
  <si>
    <t>SORDERA NO SINDRÓMICO , RECESSIVE 37</t>
  </si>
  <si>
    <t>MYO7A</t>
  </si>
  <si>
    <t>SÍNDROME DE USHER, TIPO 1B; SORDERA NO SINDRÓMICA, AUTOSÓMICA RECESIVA, 2</t>
  </si>
  <si>
    <t>NAGS</t>
  </si>
  <si>
    <t>DEFICIENCIA DE N-ACETILGLUTAMATO SINTASA (NAGSD)</t>
  </si>
  <si>
    <t>NBEAL2</t>
  </si>
  <si>
    <t>SÍNDROME DE PLAQUETAS GRISES</t>
  </si>
  <si>
    <t>NBN</t>
  </si>
  <si>
    <t>SÍNDROME DE NIJMEGEN</t>
  </si>
  <si>
    <t>NCF2</t>
  </si>
  <si>
    <t>ENFERMEDAD GRANULOMATOSA CRÓNICA TIPO 2</t>
  </si>
  <si>
    <t>NCF4</t>
  </si>
  <si>
    <t>ENFERMEDAD GRANULOMATOSA CRÓNICA TIPO 3</t>
  </si>
  <si>
    <t>NEUROG3</t>
  </si>
  <si>
    <t>DIARREA 4, MALABSORTIVA, CONGÉNITA</t>
  </si>
  <si>
    <t>NFKB2</t>
  </si>
  <si>
    <t>INMUNODEFICIENCIA, COMMON VARIABLE, 10</t>
  </si>
  <si>
    <t>NFKBIA</t>
  </si>
  <si>
    <t>DISPLASIA ECTODÉRMICA E INMUNODEFICIENCIA 2</t>
  </si>
  <si>
    <t>NHEJ1</t>
  </si>
  <si>
    <t>INMUNODEFICIENCIA 124 COMBINADA GRAVE CON MICROCEFALIA, RETRASO DEL CRECIMIENTO Y SENSIBILIDAD A LAS RADIACIONES IONIZANTES</t>
  </si>
  <si>
    <t>NKX2-1</t>
  </si>
  <si>
    <t>COREOATETOSIS E HIPOTIROIDISMO CONGÉNITO CON O SIN DISFUNCIÓN PULMONAR</t>
  </si>
  <si>
    <t>NKX2-5</t>
  </si>
  <si>
    <t>HIPOTIROIDISMO CONGÉNITO NO BOCIÓGENO TIPO 5</t>
  </si>
  <si>
    <t>NLRP3</t>
  </si>
  <si>
    <t>SÍNDROME DE MUCKLE-WELLS; SÍNDROME CINCA; SÍNDROME INFLAMATORIO FAMILIAR INDUCIDO POR EL FRÍO 1</t>
  </si>
  <si>
    <t>NNT</t>
  </si>
  <si>
    <t>DEFICIENCIA DE GLUCOCORTICOIDES TIPO 4, CON O SIN DEFICIENCIA DE MINERALOCORTICOIDES</t>
  </si>
  <si>
    <t>NODAL</t>
  </si>
  <si>
    <t>HETEROTAXIA VISCERAL 5</t>
  </si>
  <si>
    <t>NPC1</t>
  </si>
  <si>
    <t>ENFERMEDAD DE NIEMANN-PICK, C1/D (LISOSOMAL)</t>
  </si>
  <si>
    <t>NPC2</t>
  </si>
  <si>
    <t>ENFERMEDAD DE NIEMANN-PICK, C2 (LISOSOMAL)</t>
  </si>
  <si>
    <t>NR0B1</t>
  </si>
  <si>
    <t>HIPOPLASIA SUPRARRENAL CONGÉNITA</t>
  </si>
  <si>
    <t>NR3C2</t>
  </si>
  <si>
    <t>PSEUDOHIPOALDOSTERONISMO TIPO I, AUTOSÓMICO DOMINANTE</t>
  </si>
  <si>
    <t>NRAS</t>
  </si>
  <si>
    <t>SÍNDROME DE NOONAN 6</t>
  </si>
  <si>
    <t>OAS1</t>
  </si>
  <si>
    <t>INMUNODEFICIENCIA 100 CON PROTEINOSIS ALVEOLAR PULMONAR E HIPOGAMMAGLOBULINEMIA (INMUNODEFICIENCIA AUTOINFLAMATORIA POLIMÓRFICA)</t>
  </si>
  <si>
    <t>OAT</t>
  </si>
  <si>
    <t xml:space="preserve">ATROFIA GIRATA DE LA COROIDES Y LA RETINA CON O SIN ORNITINEMIA </t>
  </si>
  <si>
    <t>ODAD1</t>
  </si>
  <si>
    <t>DISCINESIA CILIAR, PRIMARIA, 20</t>
  </si>
  <si>
    <t>ODAD2</t>
  </si>
  <si>
    <t>DISCINESIA CILIAR, PRIMARIA, 23</t>
  </si>
  <si>
    <t>ODAD3</t>
  </si>
  <si>
    <t>DISCINESIA CILIAR, PRIMARIA, 30</t>
  </si>
  <si>
    <t>ODAD4</t>
  </si>
  <si>
    <t>DISCINESIA CILIAR, PRIMARIA, 35</t>
  </si>
  <si>
    <t>OFD1</t>
  </si>
  <si>
    <t>SÍNDROME DE JOUBERT 10</t>
  </si>
  <si>
    <t>OTC</t>
  </si>
  <si>
    <t>DEFICIENCIA DE ORNITINA TRANSCARBAMILASA</t>
  </si>
  <si>
    <t>OTOA</t>
  </si>
  <si>
    <t>SORDERA NO SINDRÓMICA, AUTOSÓMICA RECESIVA 22</t>
  </si>
  <si>
    <t>OTOF</t>
  </si>
  <si>
    <t>SORDERA NO SINDRÓMICA, AUTOSÓMICA RECESIVA 9</t>
  </si>
  <si>
    <t>OTOG</t>
  </si>
  <si>
    <t>SORDERA NO SINDRÓMICA, AUTOSÓMICA RECESIVA 18B</t>
  </si>
  <si>
    <t>OTOGL</t>
  </si>
  <si>
    <t>SORDERA NO SINDRÓMICA, AUTOSÓMICA RECESIVA 84B</t>
  </si>
  <si>
    <t>OTX2</t>
  </si>
  <si>
    <t>DEFICIENCIA COMBINADA DE HORMONAS HIPOFISARIAS TIPO 6</t>
  </si>
  <si>
    <t>OXCT1</t>
  </si>
  <si>
    <t>SUCCINYL COA:3-OXOACID COA TRANSFERASE DEFICIENCY</t>
  </si>
  <si>
    <t>PAH</t>
  </si>
  <si>
    <t>PAX1</t>
  </si>
  <si>
    <t>SÍNDROME OTOFACIOCERVICAL 2</t>
  </si>
  <si>
    <t>PAX3</t>
  </si>
  <si>
    <t>SÍNDROME DE WAARDENBURG, TIPO 1</t>
  </si>
  <si>
    <t>PAX8</t>
  </si>
  <si>
    <t>HIPOTIROIDISMO CONGÉNITO Y DIFERENCIAL CF/CID</t>
  </si>
  <si>
    <t>PCBD1</t>
  </si>
  <si>
    <t>HIPERFENILALANINEMIA, DEFICIENCIA DE BH4, D</t>
  </si>
  <si>
    <t>PCCA</t>
  </si>
  <si>
    <t>ACIDEMIA PROPIÓNICA 1</t>
  </si>
  <si>
    <t>PCCB</t>
  </si>
  <si>
    <t>ACIDEMIA PROPIÓNICA 2</t>
  </si>
  <si>
    <t>PCDH15</t>
  </si>
  <si>
    <t>SÍNDROME DE USHER, TIPO 1F; SORDERA NO SINDRÓMICA, AUTOSÓMICA RECESIVA 23</t>
  </si>
  <si>
    <t>PDX1</t>
  </si>
  <si>
    <t>AGENESIA PANCREÁTICA 1 / DIABETES MELLITUS</t>
  </si>
  <si>
    <t>PDXK</t>
  </si>
  <si>
    <t xml:space="preserve">NEUROPATÍA HEREDITARIA MOTORA Y SENSITIVA, TIPO VIC, CON ATROFIA ÓPTICA. </t>
  </si>
  <si>
    <t>PDZD7</t>
  </si>
  <si>
    <t>SORDERA AUTOSÓMOCA RECESIVA 57; SÍNDROME DE USHER, TIPO 2C, GPR98/PDZD7 DIGENIC</t>
  </si>
  <si>
    <t>PGM1</t>
  </si>
  <si>
    <t>TRASTORNO CONGÉNITO DE LA GLICOSILACIÓN, TIPO IT</t>
  </si>
  <si>
    <t>PGM3</t>
  </si>
  <si>
    <t>INMUNODEFICIENCIA 23</t>
  </si>
  <si>
    <t>PHEX</t>
  </si>
  <si>
    <t>RAQUITISMO HIPOFOSFATÉMICO, LIGADO A X DOMINANTE</t>
  </si>
  <si>
    <t>PHGDH</t>
  </si>
  <si>
    <t>DEFICIENCIA DE FOSFOGLICERATO DESHIDROGENASA</t>
  </si>
  <si>
    <t>PHKA2</t>
  </si>
  <si>
    <t>ENFERMEDAD POR ALMACENAMIENTO DE GLUCÓGENO, TIPO IXA1/IXA2</t>
  </si>
  <si>
    <t>PHKB</t>
  </si>
  <si>
    <t>ENFERMEDAD POR ALMACENAMIENTO DE GLUCÓGENO, TIPO IXB</t>
  </si>
  <si>
    <t>PHKG2</t>
  </si>
  <si>
    <t>PHYH</t>
  </si>
  <si>
    <t xml:space="preserve">ENFERMEDAD DE REFSUM </t>
  </si>
  <si>
    <t>PIK3CD</t>
  </si>
  <si>
    <t>INMUNODEFICIENCIA 14A DOMINANTE; INMUNODEFICIENCIA 14B RECESIVA</t>
  </si>
  <si>
    <t>PIK3R1</t>
  </si>
  <si>
    <t>AGAMMAGLOBULINAEMIA 7; INMUNODEFICIENCIA 36; SHORT SYNDROME</t>
  </si>
  <si>
    <t>PJVK</t>
  </si>
  <si>
    <t>SORDERA AUTOSÓMICA RECESIVA 59</t>
  </si>
  <si>
    <t>PKLR</t>
  </si>
  <si>
    <t>DEFICIENCIA DE PIRUVATO QUINASA</t>
  </si>
  <si>
    <t>PLCG2</t>
  </si>
  <si>
    <t>AUTOINFLAMACIÓN Y DEFICIENCIA DE ANTICUERPOS ASOCIADA A PLCG2 Y DESREGULACIÓN INMUNITARIA (APLAID)</t>
  </si>
  <si>
    <t>PLPBP</t>
  </si>
  <si>
    <t>EPILEPSIA, DE INICIO TEMPRANO, DEPENDIENTE DE VITAMINA B6</t>
  </si>
  <si>
    <t>PLS3</t>
  </si>
  <si>
    <t>LOCUS DE CUANTIFICACIÓN DE RASGOS DE DENSIDAD MINERAL ÓSEA 18, OSTEOPOROSIS</t>
  </si>
  <si>
    <t>PMM2</t>
  </si>
  <si>
    <t>TRASTORNO CONGÉNITO DE LA GLICOSILACIÓN, TIPO IA (PMM2-CDG)</t>
  </si>
  <si>
    <t>PNP</t>
  </si>
  <si>
    <t>INMUNODEFICIENCIA POR DEFICIENCIA DE NUCLEÓSIDO DE PURINA FOSFORILASA</t>
  </si>
  <si>
    <t>PNPO</t>
  </si>
  <si>
    <t>DEFICIENCIA DE PIRIDOXAMINA 5'-FOSFATO OXIDASA</t>
  </si>
  <si>
    <t>POLH</t>
  </si>
  <si>
    <t>XERODERMA PIGMENTOSO, TIPO VARIANTE</t>
  </si>
  <si>
    <t>POLR1D</t>
  </si>
  <si>
    <t>SÍNDROME DE TREACHER COLLINS 2</t>
  </si>
  <si>
    <t>POMC</t>
  </si>
  <si>
    <t>OBESIDAD, INSUFICIENCIA ADRENAL Y CABELLO ROJO DEBIDO A DEFICIENCIA DE POMC</t>
  </si>
  <si>
    <t>POR</t>
  </si>
  <si>
    <t>ESTEROIDOGÉNESIS DESORDENADA DEBIDO A DEFICIENCIA DE CITOCROMO P450 OXIDOREDUCTASA</t>
  </si>
  <si>
    <t>POU1F1</t>
  </si>
  <si>
    <t>DEFICIENCIA COMBINADA O AISLADA DE HORMONAS HIPOFISARIAS TIPO 1, AUTOSÓMICA DOMINANTE</t>
  </si>
  <si>
    <t>PPM1K</t>
  </si>
  <si>
    <t>ENFERMEDAD DE LA ORINA CON OLOR A JARABE DE ARCE, VARIANTE LEVE</t>
  </si>
  <si>
    <t>PPOX</t>
  </si>
  <si>
    <t>PORFIRIA VARIEGATA HOMOCIGOTA DE INICIO INFANTIL</t>
  </si>
  <si>
    <t>PREPL</t>
  </si>
  <si>
    <t>SÍNDROME MIASTÉNICO CONGÉNITO TIPO 22</t>
  </si>
  <si>
    <t>PRF1</t>
  </si>
  <si>
    <t>LINFOHISTIOCITOSIS HEMOFAGOCÍTICA FAMILIAR, TIPO 2</t>
  </si>
  <si>
    <t>PRKAR1A</t>
  </si>
  <si>
    <t xml:space="preserve">COMPLEJO CARNEY, TIPO 1 </t>
  </si>
  <si>
    <t>PRKDC</t>
  </si>
  <si>
    <t>INMUNODEFICIENCIA 26, CON O SIN ANOMALÍAS NEUROLÓGICAS</t>
  </si>
  <si>
    <t>PROP1</t>
  </si>
  <si>
    <t>HIPOTIROIDISMO CONGÉNITO 2, OTRO, (AR) COMBINADO CON DEFICIENCIA DE LA HORMONA PITUITARIA</t>
  </si>
  <si>
    <t>PROS1</t>
  </si>
  <si>
    <t>TROMBOFILIA POR DEFICIENCIA DE PROTEÍNA S, AUTOSÓMICA RECESIVA</t>
  </si>
  <si>
    <t>PRPS1</t>
  </si>
  <si>
    <t>SORDERA NO SINDRÓMICA, X-LINKED 1</t>
  </si>
  <si>
    <t>PSAT1</t>
  </si>
  <si>
    <t>DEFICIENCIA DE FOSFOSERINA AMINOTRANSFERASA</t>
  </si>
  <si>
    <t>PSTPIP1</t>
  </si>
  <si>
    <t>SÍNDROME AUTOINFLAMATORIO CON CITOPENIA, HIPERCINCEMIA E HIPERCALPROTECTINEMIA; ARTRITIS ESTÉRIL PIÓGENA, PIODERMA GANGRENOSO Y ACNÉ (SÍNDROME PAPA)</t>
  </si>
  <si>
    <t>PTF1A</t>
  </si>
  <si>
    <t>AGENESIA PANCREÁTICA 2</t>
  </si>
  <si>
    <t>PTPN11</t>
  </si>
  <si>
    <t>SÍNDROME DE NOONAN 1 CON LÉNTIGOS MÚLTIPLES</t>
  </si>
  <si>
    <t>PTPRC</t>
  </si>
  <si>
    <t>INMUNODEFICIENCIA 105</t>
  </si>
  <si>
    <t>PTPRQ</t>
  </si>
  <si>
    <t>SORDERA NO SINDRÓMICA, AUTOSÓMICA RECESIVA 84A</t>
  </si>
  <si>
    <t>PTS</t>
  </si>
  <si>
    <t>HIPERFENILALANINEMIA, DEFICIENCIA DE BH4, A</t>
  </si>
  <si>
    <t>PYGL</t>
  </si>
  <si>
    <t>ENFERMEDAD POR ALMACENAMIENTO DE GLUCÓGENO VI</t>
  </si>
  <si>
    <t>PYGM</t>
  </si>
  <si>
    <t>ENFERMEDAD POR ALMACENAMIENTO DE GLUCÓGENO V (MCARDLE DISEASE)</t>
  </si>
  <si>
    <t>QDPR</t>
  </si>
  <si>
    <t>HIPERFENILALANINEMIA, DEFICIENCIA DE BH4, C</t>
  </si>
  <si>
    <t>RAB23</t>
  </si>
  <si>
    <t>SÍNDROME DE CARPENTER</t>
  </si>
  <si>
    <t>RAB27A</t>
  </si>
  <si>
    <t>SÍNDROME DE GRISCELLI, TIPO 2</t>
  </si>
  <si>
    <t>RAC2</t>
  </si>
  <si>
    <t>INMUNODEFICIENCIA 73 CON QUIMIOTAXIS DE NEUTRÓFILOS DEFECTUOSA Y LEUCOCITOSIS/LINFOPENIA (A, B, C)</t>
  </si>
  <si>
    <t>RAF1</t>
  </si>
  <si>
    <t xml:space="preserve">SÍNDROME DE NOONAN 5 </t>
  </si>
  <si>
    <t>RAG1</t>
  </si>
  <si>
    <t>INMUNODEFICIENCIA COMBINADA SEVERA, CÉLULAS B NEGATIVAS</t>
  </si>
  <si>
    <t>RAG2</t>
  </si>
  <si>
    <t xml:space="preserve">INMUNODEFICIENCIA COMBINADA GRAVE, LINFOCITOS B NEGATIVOS; DEFECTOS INMUNITARIOS CELULARES Y HUMORALES COMBINADOS CON GRANULOMAS; SÍNDROME DE OMENN </t>
  </si>
  <si>
    <t>RAPSN</t>
  </si>
  <si>
    <t>SÍNDROME MIASTÉNICO CONGÉNITO TIPO 11, ASOCIADO A DEFICIENCIA DEL RECEPTOR DE ACETILCOLINA</t>
  </si>
  <si>
    <t>RASGRP1</t>
  </si>
  <si>
    <t>INMUNODEFICIENCIA 64</t>
  </si>
  <si>
    <t>RDX</t>
  </si>
  <si>
    <t>SORDERA NO SINDRÓMICA, AUTOSÓMICA RECESIVA 24</t>
  </si>
  <si>
    <t>RFX5</t>
  </si>
  <si>
    <t>SÍNDROME DE LINFOCITO DESNUDO, TIPO II, GRUPO DE COMPLEMENTACIÓN C – DEFICIENCIA DE MHC CLASE II 3</t>
  </si>
  <si>
    <t>RFXANK</t>
  </si>
  <si>
    <t>SÍNDROME DE LINFOCITO DESNUDO, TIPO II, GRUPO DE COMPLEMENTACIÓN B – DEFICIENCIA DE MHC CLASE II 2</t>
  </si>
  <si>
    <t>RFXAP</t>
  </si>
  <si>
    <t>SÍNDROME DE LINFOCITO DESNUDO, TIPO II, GRUPO DE COMPLEMENTACIÓN D – DEFICIENCIA DE MHC CLASE II 4</t>
  </si>
  <si>
    <t>RIT1</t>
  </si>
  <si>
    <t>SÍNDROME DE NOONAN 8</t>
  </si>
  <si>
    <t>RMRP</t>
  </si>
  <si>
    <t>DISPLASIA ANAUXÉTICA 1; HIPOPLASIA DE CARTÍLAGO-CABELLO; DISPLASIA METAFISARIA SIN HIPOTRICOSIS</t>
  </si>
  <si>
    <t>RNASEH2A</t>
  </si>
  <si>
    <t>SÍNDROME DE AICARDI-GOUTIERES 4</t>
  </si>
  <si>
    <t>RNASEH2B</t>
  </si>
  <si>
    <t>SÍNDROME DE AICARDI-GOUTIERES 2</t>
  </si>
  <si>
    <t>RNASEH2C</t>
  </si>
  <si>
    <t>SÍNDROME DE AICARDI-GOUTIERES 3</t>
  </si>
  <si>
    <t>RNPC3</t>
  </si>
  <si>
    <t>DEFICIENCIA DE HORMONA PITUITARIA, COMBINADA O AISLADA, 7</t>
  </si>
  <si>
    <t>RPE65</t>
  </si>
  <si>
    <t>AMAUROSIS CONGÉNITA DE LEBER TIPO 2; RETINITIS PIGMENTOSA 20</t>
  </si>
  <si>
    <t>RPL11</t>
  </si>
  <si>
    <t>ANEMIA DE DIAMOND BLACKFAN 7</t>
  </si>
  <si>
    <t>RPL15</t>
  </si>
  <si>
    <t>ANEMIA DE DIAMOND-BLACKFAN 12</t>
  </si>
  <si>
    <t>RPL26</t>
  </si>
  <si>
    <t>ANEMIA DE DIAMOND-BLACKFAN 11</t>
  </si>
  <si>
    <t>RPL27</t>
  </si>
  <si>
    <t>ANEMIA DE DIAMOND-BLACKFAN 16</t>
  </si>
  <si>
    <t>RPL35A</t>
  </si>
  <si>
    <t>ANEMIA DE DIAMOND BLACKFAN 5</t>
  </si>
  <si>
    <t>RPL5</t>
  </si>
  <si>
    <t>ANEMIA DE DIAMOND BLACKFAN 6</t>
  </si>
  <si>
    <t>RPS10</t>
  </si>
  <si>
    <t>ANEMIA DE DIAMOND BLACKFAN 9</t>
  </si>
  <si>
    <t>RPS17</t>
  </si>
  <si>
    <t>ANEMIA DE DIAMOND BLACKFAN 4</t>
  </si>
  <si>
    <t>RPS19</t>
  </si>
  <si>
    <t>ANEMIA DE DIAMOND BLACKFAN 1</t>
  </si>
  <si>
    <t>RPS24</t>
  </si>
  <si>
    <t>ANEMIA DE DIAMOND BLACKFAN 3</t>
  </si>
  <si>
    <t>RPS26</t>
  </si>
  <si>
    <t>ANEMIA DE DIAMOND BLACKFAN 10</t>
  </si>
  <si>
    <t>RPS27</t>
  </si>
  <si>
    <t>ANEMIA DE DIAMOND-BLACKFAN 17</t>
  </si>
  <si>
    <t>RPS28</t>
  </si>
  <si>
    <t>ANEMIA DE DIAMOND BLACKFAN 15 WITH MANDIBULOFACIAL DYSOSTOSIS</t>
  </si>
  <si>
    <t>RPS29</t>
  </si>
  <si>
    <t>ANEMIA DE DIAMOND BLACKFAN 13</t>
  </si>
  <si>
    <t>RPS7</t>
  </si>
  <si>
    <t>ANEMIA DE DIAMOND BLACKFAN 8</t>
  </si>
  <si>
    <t>RRAS2</t>
  </si>
  <si>
    <t xml:space="preserve">SÍNDROME DE NOONAN 12 </t>
  </si>
  <si>
    <t>RSPH1</t>
  </si>
  <si>
    <t>DISCINESIA CILIAR, PRIMARIA, 24</t>
  </si>
  <si>
    <t>RSPH3</t>
  </si>
  <si>
    <t>DISCINESIA CILIAR, PRIMARIA, 32</t>
  </si>
  <si>
    <t>RSPH4A</t>
  </si>
  <si>
    <t>DISCINESIA CILIAR, PRIMARIA, 11</t>
  </si>
  <si>
    <t>RSPH9</t>
  </si>
  <si>
    <t>DISCINESIA CILIAR, PRIMARIA, 12</t>
  </si>
  <si>
    <t>RYR1</t>
  </si>
  <si>
    <t>SUSCEPTIBILIDAD A LA HIPERTERMIA MALIGNA 1</t>
  </si>
  <si>
    <t>RYR2</t>
  </si>
  <si>
    <t>TAQUICARDIA VENTRICULAR POLIMÓRFICA CATECOLAMINÉRGICA 1</t>
  </si>
  <si>
    <t>S1PR2</t>
  </si>
  <si>
    <t>SORDERA NO SINDRÓMICA, AUTOSÓMICA RECESIVA 68</t>
  </si>
  <si>
    <t>SAMHD1</t>
  </si>
  <si>
    <t>SÍNDROME DE AICARDI-GOUTIERES 5</t>
  </si>
  <si>
    <t>SAR1B</t>
  </si>
  <si>
    <t>ENFERMEDAD POR RETENCIÓN DE QUILOMICRONES</t>
  </si>
  <si>
    <t>SBDS</t>
  </si>
  <si>
    <t>SÍNDROME DE SHWACHMAN-DIAMOND</t>
  </si>
  <si>
    <t>SCN4A</t>
  </si>
  <si>
    <t>SÍNDROME MIASTÉNICO CONGÉNITO, TIPO 16; PARÁLISIS PERIÓDICA HIPERPOTASÉMICA, TIPO 2</t>
  </si>
  <si>
    <t>SCN5A</t>
  </si>
  <si>
    <t>SÍNDROME DE BRUGADA 1; SÍNDROME LONG QT, TIPOS 1, 2, Y 3</t>
  </si>
  <si>
    <t>SCNN1A</t>
  </si>
  <si>
    <t>PSEUDOHIPOALDOSTERONISMO, TIPO IB1; BRONQUIECTASIAS CON O SIN CLORURO ELEVADO EN SUDOR 2</t>
  </si>
  <si>
    <t>SCNN1B</t>
  </si>
  <si>
    <t>PSEUDOHIPOALDOSTERONISMO, TIPO IB2</t>
  </si>
  <si>
    <t>SCNN1G</t>
  </si>
  <si>
    <t>PSEUDOHIPOALDOSTERONISMO, TIPO IB3</t>
  </si>
  <si>
    <t>SECISBP2</t>
  </si>
  <si>
    <t xml:space="preserve">METABOLISMO DE LA HORMONA TIROIDEA, ANORMAL, 1 </t>
  </si>
  <si>
    <t>SERPING1</t>
  </si>
  <si>
    <t>ANGIOEDEMA HEREDITARIO TIPO 1, AUTOSÓMICO DOMINANTE</t>
  </si>
  <si>
    <t>SFTPC</t>
  </si>
  <si>
    <t>DISFUNCIÓN DEL METABOLISMO DE LOS SURFACTANTES, PULMONAR, 2</t>
  </si>
  <si>
    <t>SGPL1</t>
  </si>
  <si>
    <t>SÍNDROME NEFRÓTICO TIPO 14 – SÍNDROME RENI</t>
  </si>
  <si>
    <t>SH2D1A</t>
  </si>
  <si>
    <t>SÍNDROME LINFOPROLIFERATIVO LIGADO AL CROMOSOMA X, DESREGULACIÓN INMUNITARIA 1</t>
  </si>
  <si>
    <t>SHOC2</t>
  </si>
  <si>
    <t xml:space="preserve">SÍNDROME DE NOONAN SIMILAR CON CABELLO ANÁGENO SUELTO 1 </t>
  </si>
  <si>
    <t>SI</t>
  </si>
  <si>
    <t>DEFICIENCIA CONGÉNITA DE SUCRASA-ISOMALTASA</t>
  </si>
  <si>
    <t>SIX1</t>
  </si>
  <si>
    <t>TRASTORNOS RELACIONADOS CON BRANQUIO-OTO-RENAL</t>
  </si>
  <si>
    <t>SLC12A1</t>
  </si>
  <si>
    <t>SÍNDROME DE BARTTER TIPO I</t>
  </si>
  <si>
    <t>SLC16A1</t>
  </si>
  <si>
    <t>DEFICIENCIA DEL TRANSPORTADOR DE MONOCARBOXILATO 1</t>
  </si>
  <si>
    <t>SLC17A8</t>
  </si>
  <si>
    <t>SORDERA NO SINDRÓMICA, AUTOSÓMICA DOMINANTE 25</t>
  </si>
  <si>
    <t>SLC18A3</t>
  </si>
  <si>
    <t>SÍNDROME MIASTÉNICO CONGÉNITO TIPO 21, PRESINÁPTICO</t>
  </si>
  <si>
    <t>SLC19A1</t>
  </si>
  <si>
    <t>ANEMIA MEGALOBLÁSTICA DEPENDIENTE DE FOLATO; INMUNODEFICIENCIA 114, SENSIBLE AL FOLATO</t>
  </si>
  <si>
    <t>SLC19A2</t>
  </si>
  <si>
    <t>SÍNDROME DE ANEMIA MEGALOBLÁSTICA SENSIBLE A LA TIAMINA</t>
  </si>
  <si>
    <t>SLC19A3</t>
  </si>
  <si>
    <t>SÍNDROME DE DISFUNCIÓN DEL METABOLISMO DE LA TIAMINA 2 (ENCEFALOPATÍA TIPO 2 SENSIBLE A BIOTINA O TIAMINA)</t>
  </si>
  <si>
    <t>SLC22A5</t>
  </si>
  <si>
    <t>DEFICIENCIA SISTÉMICA PRIMARIA DE CARNITINA (CDSP)</t>
  </si>
  <si>
    <t>SLC25A1</t>
  </si>
  <si>
    <t>SÍNDROME MIASTÉNICO CONGÉNITO TIPO 23, PRESINÁPTICO</t>
  </si>
  <si>
    <t>SLC25A13</t>
  </si>
  <si>
    <t>CITRULINEMIA TIPO II, DE INICIO NEONATAL</t>
  </si>
  <si>
    <t>SLC25A15</t>
  </si>
  <si>
    <t>SÍNDROME DE HIPERORNITINEMIA-HIPERAMONEMIA-HOMOCITRULINEMIA (HHH)</t>
  </si>
  <si>
    <t>SLC25A19</t>
  </si>
  <si>
    <t>SÍNDROME DE DISFUNCIÓN DEL METABOLISMO DE LA TIAMINA 4 (TIPO POLINEUROPATÍA PROGRESIVA)</t>
  </si>
  <si>
    <t>SLC25A20</t>
  </si>
  <si>
    <t>DEFICIENCIA DE CARNITINA-ACILCARNITINA TRANSLOCASA</t>
  </si>
  <si>
    <t>SLC25A32</t>
  </si>
  <si>
    <t>INTOLERANCIA AL EJERCICIO, SENSIBLE A LA RIBOFLAVINA</t>
  </si>
  <si>
    <t>SLC25A38</t>
  </si>
  <si>
    <t>ANEMIA, SIDEROBLÁSTICA, 2, REFRACTARIA A LA PIRIDOXINA</t>
  </si>
  <si>
    <t>SLC26A3</t>
  </si>
  <si>
    <t>DIARREA 1, SECRETORA DE CLORURO, CONGÉNITA</t>
  </si>
  <si>
    <t>SLC26A4</t>
  </si>
  <si>
    <t>SÍNDROME DE PENDRED</t>
  </si>
  <si>
    <t>SLC2A1</t>
  </si>
  <si>
    <t>DISTONÍA 9, SÍNDROMES DE DEFICIENCIA DE GLUT1 1</t>
  </si>
  <si>
    <t>SLC2A10</t>
  </si>
  <si>
    <t>SÍNDROME DE TORTUOSIDAD ARTERIAL</t>
  </si>
  <si>
    <t>SLC2A2</t>
  </si>
  <si>
    <t xml:space="preserve">SÍNDROME DE FANCONI-BICKEL </t>
  </si>
  <si>
    <t>SLC30A10</t>
  </si>
  <si>
    <t>HIPERMANGANESEMIA CON DISTONÍA TIPO 1</t>
  </si>
  <si>
    <t>SLC34A3</t>
  </si>
  <si>
    <t>RAQUITISMO HIPOFOSFATÉMICO CON HIPERCALCIURIA</t>
  </si>
  <si>
    <t>SLC37A4</t>
  </si>
  <si>
    <t>ENFERMEDAD POR ALMACENAMIENTO DE GLUCÓGENO IB; ENFERMEDAD POR ALMACENAMIENTO DE GLUCÓGENO IC</t>
  </si>
  <si>
    <t>SLC39A4</t>
  </si>
  <si>
    <t>ACRODERMATITIS ENTEROPATHICA, TIPO DEFICIENCIA DE ZINC</t>
  </si>
  <si>
    <t>SLC39A7</t>
  </si>
  <si>
    <t>AGAMMAGLOBULINEMIA 9, AUTOSÓMICA RECESIVA</t>
  </si>
  <si>
    <t>SLC39A8</t>
  </si>
  <si>
    <t>TRASTORNO CONGÉNITO DE LA GLICOSILACIÓN, TIPO IIN</t>
  </si>
  <si>
    <t>SLC3A1</t>
  </si>
  <si>
    <t>CISTINURIA</t>
  </si>
  <si>
    <t>SLC46A1</t>
  </si>
  <si>
    <t>MALABSORCIÓN DE FOLATO, HEREDITARIA</t>
  </si>
  <si>
    <t>SLC4A1</t>
  </si>
  <si>
    <t>ACIDOSIS TUBULAR RENAL DISTAL TIPO 4 CON ANEMIA HEMOLÍTICA, AUTOSÓMICA RECESIVA Y DOMINANTE</t>
  </si>
  <si>
    <t>SLC52A1</t>
  </si>
  <si>
    <t>DEFICIENCIA DE RIBOFLAVINA</t>
  </si>
  <si>
    <t>SLC52A2</t>
  </si>
  <si>
    <t>SÍNDROME DE BROWN-VIALETTO-VAN LAERE 2</t>
  </si>
  <si>
    <t>SLC52A3</t>
  </si>
  <si>
    <t>SÍNDROME DE BROWN-VIALETTO-VAN LAERE 1</t>
  </si>
  <si>
    <t>SLC5A1</t>
  </si>
  <si>
    <t>MALABSORCIÓN DE GLUCOSA/GALACTOSA</t>
  </si>
  <si>
    <t>SLC5A5</t>
  </si>
  <si>
    <t>HIPOTIROIDIMO CONGÉNITO (DISHORMONOGÉNESIS TIROIDEA FAMILIAR 1)</t>
  </si>
  <si>
    <t>SLC5A6</t>
  </si>
  <si>
    <t xml:space="preserve">DEFICIENCIA DEL TRANSPORTADOR MULTIVITAMÍNICO DEPENDIENTE DE SODIO; NEUROPATÍA MOTORA PERIFÉRICA, DE INICIO EN LA INFANCIA, SENSIBLE A LA BIOTINA. </t>
  </si>
  <si>
    <t>SLC5A7</t>
  </si>
  <si>
    <t>SÍNDROME MIASTÉNICO CONGÉNITO-20</t>
  </si>
  <si>
    <t>SLC6A5</t>
  </si>
  <si>
    <t>HIPEREKPLEXIA 3</t>
  </si>
  <si>
    <t>SLC6A6</t>
  </si>
  <si>
    <t xml:space="preserve">DEGENERACIÓN RETINIANA HIPOTAURINARIA Y MIOCARDIOPATÍA </t>
  </si>
  <si>
    <t>SLC6A8</t>
  </si>
  <si>
    <t>SÍNDROME DE DEFICIENCIA DE CREATINA CEREBRAL 1 (CCDS1)</t>
  </si>
  <si>
    <t>SLC7A7</t>
  </si>
  <si>
    <t>INTOLERANCIA A LA PROTEÍNA LISINÚRICA</t>
  </si>
  <si>
    <t>SLC7A9</t>
  </si>
  <si>
    <t xml:space="preserve">CISTINURIA </t>
  </si>
  <si>
    <t>SLC9A3</t>
  </si>
  <si>
    <t>DIARREA 8, SECRETORA DE SODIO, CONGÉNITA</t>
  </si>
  <si>
    <t>SLITRK6</t>
  </si>
  <si>
    <t>SORDERA E MIOPIA</t>
  </si>
  <si>
    <t>SLX4</t>
  </si>
  <si>
    <t>ANEMIA DE FANCONI, GRUPO DE COMPLEMENTACIÓN P</t>
  </si>
  <si>
    <t>SMARCD2</t>
  </si>
  <si>
    <t>DEFICIENCIA DE GRÁNULOS ESPECÍFICOS TIPO 2</t>
  </si>
  <si>
    <t>SMN1</t>
  </si>
  <si>
    <t>ATROFIA MUSCULAR ESPINAL TIPO 1, 2, 3 Y 4</t>
  </si>
  <si>
    <t>SMPD1</t>
  </si>
  <si>
    <t>ENFERMEDAD DE NIEMANN-PICK, TIPO A AND B</t>
  </si>
  <si>
    <t>SNAP25</t>
  </si>
  <si>
    <t>SÍNDROME MIASTÉNICO, CONGÉNITO, 18</t>
  </si>
  <si>
    <t>SNX10</t>
  </si>
  <si>
    <t>OSTEOPETROSIS TIPO 8</t>
  </si>
  <si>
    <t>SOS1</t>
  </si>
  <si>
    <t>SÍNDROME DE NOONAN 4</t>
  </si>
  <si>
    <t>SOX10</t>
  </si>
  <si>
    <t>SÍNDROME DE PCWH; SÍNDROME DE WAARDENBURG, TIPO 4C; SÍNDROME DE WAARDENBURG, TIPO 4C Y TIPO 2E</t>
  </si>
  <si>
    <t>SOX3</t>
  </si>
  <si>
    <t>PANHIPOPITUITARISMO LIGADO AL CROMOSOMA X</t>
  </si>
  <si>
    <t>SP110</t>
  </si>
  <si>
    <t>ENFERMEDAD VENOOCLUSIVA HEPÁTICA CON INMUNODEFICIENCIA</t>
  </si>
  <si>
    <t>SPAG1</t>
  </si>
  <si>
    <t>DISCINESIA CILIAR, PRIMARIA, 28</t>
  </si>
  <si>
    <t>SPINT2</t>
  </si>
  <si>
    <t>DIARREA 3, SECRETORA DE SODIO, CONGÉNITA, SINDRÓMICA</t>
  </si>
  <si>
    <t>SPR</t>
  </si>
  <si>
    <t>DISTONÍA, SENSIBLE A LA DOPA, DEBIDO A LA DEFICIENCIA DE SEPIAPTERINA REDUCTASA</t>
  </si>
  <si>
    <t>SRP54</t>
  </si>
  <si>
    <t>SÍNDROME DE SHWACHMAN-DIAMOND RELACIONADO CON SRP54 – NEUTROPENIA CONGÉNITA GRAVE TIPO 8, AUTOSÓMICO DOMINANTE</t>
  </si>
  <si>
    <t>STAR</t>
  </si>
  <si>
    <t>LIPOID ADRENAL HYPERPLASIA</t>
  </si>
  <si>
    <t>STAT1</t>
  </si>
  <si>
    <t>INMUNODEFICIENCIA 31B, SUSCEPTIBILIDAD A INFECCIONES MICOBACTERIANAS Y VIRALES, AUTOSÓMICA RECESIVA</t>
  </si>
  <si>
    <t>STAT3</t>
  </si>
  <si>
    <t>ENFERMEDAD ATÓPICA Y EOSINOFÍLICA, SÍNDROME DE INFECCIÓN RECURRENTE HIPER‐IGE</t>
  </si>
  <si>
    <t>STIM1</t>
  </si>
  <si>
    <t>INMUNODEFICIENCIA 10</t>
  </si>
  <si>
    <t>STK4</t>
  </si>
  <si>
    <t>INMUNODEFICIENCIA DE LINFOCITOS T ASOCIADA A STK4, CON INFECCIONES RECURRENTES, AUTOINMUNIDAD Y MALFORMACIONES CARDÍACAS</t>
  </si>
  <si>
    <t>STRC</t>
  </si>
  <si>
    <t>SORDERA AUTOSÓMOCA RECESIVA 16</t>
  </si>
  <si>
    <t>STX11</t>
  </si>
  <si>
    <t>LINFOHISTIOCITOSIS HEMOFAGOCÍTICA FAMILIAR-4</t>
  </si>
  <si>
    <t>STXBP2</t>
  </si>
  <si>
    <t>LINFOHISTIOCITOSIS HEMOFAGOCÍTICA, FAMILIAR, 5, CON O SIN ENFERMEDAD DE INCLUSIÓN DE MICROVELLOSIDADES</t>
  </si>
  <si>
    <t>SUGCT</t>
  </si>
  <si>
    <t>ACIDURIA GLUTÁRICA III (GA3)</t>
  </si>
  <si>
    <t>SYNE4</t>
  </si>
  <si>
    <t>SORDERA NO SINDRÓMICA, AUTOSÓMICA RECESIVA 76</t>
  </si>
  <si>
    <t>SYT2</t>
  </si>
  <si>
    <t>SÍNDROME MIASTÉNICO CONGÉNITO 7B, PRESINÁPTICO, AUTOSÓMICO RECESIVO</t>
  </si>
  <si>
    <t>TAT</t>
  </si>
  <si>
    <t>TIROSINEMIA TIPO II</t>
  </si>
  <si>
    <t>TBC1D24</t>
  </si>
  <si>
    <t>SORDERA NO SINDRÓMICA, AUTOSÓMICA RECESIVA 86</t>
  </si>
  <si>
    <t>TBL1X</t>
  </si>
  <si>
    <t>HIPOTIROIDISMO CONGÉNITO NO BOCIÓGENO TIPO 8</t>
  </si>
  <si>
    <t>TBX1</t>
  </si>
  <si>
    <t>SÍNDROME DE DIGEORGE</t>
  </si>
  <si>
    <t>TBX19</t>
  </si>
  <si>
    <t>DEFICIENCIA DE HORMONA ADRENOCORTICOTRÓPICA</t>
  </si>
  <si>
    <t>TCF3</t>
  </si>
  <si>
    <t>AGAMMAGLOBULINEMIA 8B, AUTOSÓMICA RECESIVA Y DOMINANTE</t>
  </si>
  <si>
    <t>TCIRG1</t>
  </si>
  <si>
    <t>OSTEOPETROSIS TIPO 1</t>
  </si>
  <si>
    <t>TCN2</t>
  </si>
  <si>
    <t>DEFICIENCIA DE TRANSCOBALAMINA II</t>
  </si>
  <si>
    <t>TCOF1</t>
  </si>
  <si>
    <t>SÍNDROME DE TREACHER COLLINS 1</t>
  </si>
  <si>
    <t>TECRL</t>
  </si>
  <si>
    <t>TAQUICARDIA VENTRICULAR POLIMÓRFICA CATECOLAMINÉRGICA 3</t>
  </si>
  <si>
    <t>TECTA</t>
  </si>
  <si>
    <t>SORDERA NO SINDRÓMICA, AUTOSÓMICA DOMINANTE 8/12 (DFNA12) Y AUTOSÓMICA RECESIVA 21 (DFNB21)</t>
  </si>
  <si>
    <t>TERC</t>
  </si>
  <si>
    <t>TF</t>
  </si>
  <si>
    <t>ATRANSFERRINAEMIA</t>
  </si>
  <si>
    <t>TG</t>
  </si>
  <si>
    <t>HIPOTIROIDIMO CONGÉNITO (DISHORMONOGÉNESIS TIROIDEA FAMILIAR 3)</t>
  </si>
  <si>
    <t>TH</t>
  </si>
  <si>
    <t>SÍNDROME DE SEGAWA</t>
  </si>
  <si>
    <t>THRA</t>
  </si>
  <si>
    <t>THRB</t>
  </si>
  <si>
    <t>RESISTENCIA A LA HORMONA TIROIDEA, AUTOSÓMICA RECESIVA; RESISTENCIA SELECTIVA PITUITARIA A LA HORMONA TIROIDEA, AUTOSÓMICA DOMINANTE; RESISTENCIA GENERALIZADA A LA HORMONA TIROIDEA, AUTOSÓMICA DOMINANTE</t>
  </si>
  <si>
    <t>TINF2</t>
  </si>
  <si>
    <t>TMIE</t>
  </si>
  <si>
    <t>SORDERA NO SINDRÓMICA, AUTOSÓMICA RECESIVA 6 (DFNB6)</t>
  </si>
  <si>
    <t>TMPRSS3</t>
  </si>
  <si>
    <t>SORDERA NO SINDRÓMICA, AUTOSÓMICA RECESIVA 8/10</t>
  </si>
  <si>
    <t>TNFRSF11A</t>
  </si>
  <si>
    <t>OSTEOPETROSIS TIPO 7</t>
  </si>
  <si>
    <t>TNNC1</t>
  </si>
  <si>
    <t>CARDIOMIOPATIA (HIPERTRÓFICA 13); CARDIOMIOPATIA (DILATADA 1Z)</t>
  </si>
  <si>
    <t>TNNT2</t>
  </si>
  <si>
    <t>CARDIOMIOPATIA (HIPERTRÓFICA FAMILIAR 2, DILATADA 1D)</t>
  </si>
  <si>
    <t>TPK1</t>
  </si>
  <si>
    <t>SÍNDROME DE DISFUNCIÓN DEL METABOLISMO DE LA TIAMINA 5 (TIPO ENCEFALOPATÍA EPISÓDICA)</t>
  </si>
  <si>
    <t>TPO</t>
  </si>
  <si>
    <t>DISHORMONOGENESIS TIROIDEA 2A</t>
  </si>
  <si>
    <t>TPP1</t>
  </si>
  <si>
    <t>LIPOFUSCINOSIS CEROIDE, NEURONAL, 2 (CLN2)</t>
  </si>
  <si>
    <t>TPRN</t>
  </si>
  <si>
    <t>SORDERA NO SINDRÓMICA, AUTOSÓMICA RECESIVA 79 (DFNB79)</t>
  </si>
  <si>
    <t>TRDN</t>
  </si>
  <si>
    <t>SÍNDROME DE ARRITMIA CARDÍACA, CON O SIN DEBILIDAD DEL MÚSCULO ESQUELÉTICO (CARDAR)</t>
  </si>
  <si>
    <t>TRHR</t>
  </si>
  <si>
    <t>HIPOTIROIDISMO, CONGÉNITO, SIN BOCIO, 7</t>
  </si>
  <si>
    <t>TRIOBP</t>
  </si>
  <si>
    <t>SORDERA NO SINDRÓMICA, AUTOSÓMICA RECESIVA 28 (DFNB28)</t>
  </si>
  <si>
    <t>TRMU</t>
  </si>
  <si>
    <t xml:space="preserve">INSUFICIENCIA HEPÁTICA TRANSITORIA INFANTIL </t>
  </si>
  <si>
    <t>TRPM6</t>
  </si>
  <si>
    <t>HIPOMAGNESEMIA 1, INTESTINAL</t>
  </si>
  <si>
    <t>TRU-TCA1-1</t>
  </si>
  <si>
    <t xml:space="preserve">METABOLISMO DE LA HORMONA TIROIDEA, ANORMAL, 3 </t>
  </si>
  <si>
    <t>TSC1</t>
  </si>
  <si>
    <t>COMPLEJO DE ESCLEROSIS TUBEROSA 1 (TSC1)</t>
  </si>
  <si>
    <t>TSC2</t>
  </si>
  <si>
    <t>ESCLEROSIS TUBEROSA-2 (TSC2)</t>
  </si>
  <si>
    <t>TSHB</t>
  </si>
  <si>
    <t>HIPOTIROIDISMO CONGÉNITO 4</t>
  </si>
  <si>
    <t>TSHR</t>
  </si>
  <si>
    <t>HIPOTIROIDISMO CONGÉNITO 1</t>
  </si>
  <si>
    <t>TSPEAR</t>
  </si>
  <si>
    <t>SORDERA NO SINDRÓMICA, AUTOSÓMICA RECESIVA 98</t>
  </si>
  <si>
    <t>TTC7A</t>
  </si>
  <si>
    <t>DEFECTOS GASTROINTESTINALES Y SÍNDROME DE INMUNODEFICIENCIA</t>
  </si>
  <si>
    <t>TTPA</t>
  </si>
  <si>
    <t>ATAXIA CON DEFICIENCIA AISLADA DE VITAMINA E</t>
  </si>
  <si>
    <t>UBE2T</t>
  </si>
  <si>
    <t>ANEMIA DE FANCONI, GRUPO DE COMPLEMENTACIÓN T</t>
  </si>
  <si>
    <t>UGT1A1</t>
  </si>
  <si>
    <t>SÍNDROME DE CRIGLER-NAJJAR, TIPO I/II</t>
  </si>
  <si>
    <t>UMPS</t>
  </si>
  <si>
    <t xml:space="preserve">ACIDURIA ORÓTICA </t>
  </si>
  <si>
    <t>UNC13D</t>
  </si>
  <si>
    <t>LINFOHISTIOCITOSIS HEMOFAGOCÍTICA, FAMILIAR, 3</t>
  </si>
  <si>
    <t>UNG</t>
  </si>
  <si>
    <t>INMUNODEFICIENCIA CON HIPER IGM, TIPO 5</t>
  </si>
  <si>
    <t>UROD</t>
  </si>
  <si>
    <t>PORFIRIA CUTÁNEA TARDÍA</t>
  </si>
  <si>
    <t>UROS</t>
  </si>
  <si>
    <t>PORFIRIA ERITROPOYÉTICA CONGÉNITA</t>
  </si>
  <si>
    <t>USH1C</t>
  </si>
  <si>
    <t>SÍNDROME DE USHER, TIPO 1C; SORDERA NO SINDRÓMICA, AUTOSÓMICA RECESIVA 18A</t>
  </si>
  <si>
    <t>USH1G</t>
  </si>
  <si>
    <t>SÍNDROME DE USHER, TIPO 1G</t>
  </si>
  <si>
    <t>USH2A</t>
  </si>
  <si>
    <t>SÍNDROME DE USHER, TIPO 2A</t>
  </si>
  <si>
    <t>VAMP1</t>
  </si>
  <si>
    <t>SÍNDROME MIASTÉNICO CONGÉNITO TIPO 25</t>
  </si>
  <si>
    <t>VDR</t>
  </si>
  <si>
    <t>RAQUITISMO RESISTENTE A VITAMINA D TIPO IIA</t>
  </si>
  <si>
    <t>VWF</t>
  </si>
  <si>
    <t>ENFERMEDAD DE VON WILLEBRAND, TIPO 3</t>
  </si>
  <si>
    <t>WAS</t>
  </si>
  <si>
    <t>NEUTROPENIA, TROMBOCITOPENIA</t>
  </si>
  <si>
    <t>WFS1</t>
  </si>
  <si>
    <t>SÍNDROME DE WOLFRAM</t>
  </si>
  <si>
    <t>WHRN</t>
  </si>
  <si>
    <t>SÍNDROME DE USHER, TIPO 2D</t>
  </si>
  <si>
    <t>XIAP</t>
  </si>
  <si>
    <t>SÍNDROME LINFOPROLIFERATIVO LIGADO AL CROMOSOMA X, DESREGULACIÓN INMUNITARIA 2</t>
  </si>
  <si>
    <t>ZAP70</t>
  </si>
  <si>
    <t>INMUNODEFICIENCIA 48</t>
  </si>
  <si>
    <t>ZBTB24</t>
  </si>
  <si>
    <t>SÍNDROME DE INMUNODEFICIENCIA-INESTABILIDAD CENTROMÉRICA-ANOMALÍAS FACIALES 2</t>
  </si>
  <si>
    <t>ZMYND10</t>
  </si>
  <si>
    <t>DISCINESIA CILIAR, PRIMARIA, 22</t>
  </si>
  <si>
    <t>SÍNDROME MIASTÉNICO CONGÉNITO-14; TRASTORNO CONGÉNITO DE LA GLICOSILACIÓN, TIPO II</t>
  </si>
  <si>
    <t>FENILCETONURIA (PKU); HIPERFENILALANINEMIA (HPA)</t>
  </si>
  <si>
    <t>ENFERMEDAD POR ALMACENAMIENTO DE GLUCÓGENO IXC (GSD9C); DEFICIENCIA DE FOSFORILASA QUINASA HEPÁTICA</t>
  </si>
  <si>
    <t>DISQUERATOSIS CONGÉNITA, AUTOSÓMICA DOMINANTE 1; PULMONARY FIBROSIS</t>
  </si>
  <si>
    <t>DISQUERATOSIS CONGÉNITA, AUTOSOMAL 3; SÍNDROME DE REVESZ</t>
  </si>
  <si>
    <t>ACHALASIA-ADDISONIANISM-ALACRIMIA SYNDROME</t>
  </si>
  <si>
    <t>HYPERLYSYNEMIA</t>
  </si>
  <si>
    <t>ARTERIAL CALCIFICATION, GENERALIZED, OF CHILDHOOD, 2</t>
  </si>
  <si>
    <t>HYPERINSULINEMIC HYPOGLYCEMIA, FAMILIAL 1; PERMANENT NEONATAL DIABETES MELLITUS 3; TRANSIENT NEONATAL DIABETES MELLITUS 2</t>
  </si>
  <si>
    <t>ADRENOLEUKODYSTROPHY (ALD)</t>
  </si>
  <si>
    <t>METHYLMALONIC ACIDEMIA WITH HOMOCYSTINURIA, CBLJ TYPE</t>
  </si>
  <si>
    <t>ACYL-COA DEHYDROGENASE DEFICIENCY, BRANCHED SHORT CHAIN (2-METHYLBUTYRYL GLYCINURIA)</t>
  </si>
  <si>
    <t>VERY LONG-CHAIN ACYL-COA DEHYDROGENASE (VLCAD) DEFICIENCY</t>
  </si>
  <si>
    <t>ẞ-KETOTHIOLASE DEFICIENCY (ALPHA-METHYLACETOACETIC ACIDURIA)</t>
  </si>
  <si>
    <t>COMBINED MALONIC AND METHYLMALONIC ACIDEMIA</t>
  </si>
  <si>
    <t>TELANGIECTASIA, HEREDITARY HEMORRHAGIC, TYPE 2 (HHT2)</t>
  </si>
  <si>
    <t>ADENOSINE DEAMINASE DEFICIENCY; SEVERE COMBINED IMMUNODEFICIENCY DUE TO ADA DEFICIENCY</t>
  </si>
  <si>
    <t>VASCULITIS SYNDROME, AUTOINFLAMMATION, IMMUNODEFICIENCY AND HEMATOLOGICAL DEFECTS</t>
  </si>
  <si>
    <t>INFLAMMATORY SKIN AND BOWEL DISEASE, NEONATAL, 1</t>
  </si>
  <si>
    <t>FAMILIAL THROMBOTIC THROMBOCYTOPENIC PURPURA</t>
  </si>
  <si>
    <t>AICARDI-GOUTIERES 6 SYNDROME</t>
  </si>
  <si>
    <t>USHER SYNDROME, TYPE 2C</t>
  </si>
  <si>
    <t>GLYCOGEN STORAGE DISEASE TYPE III</t>
  </si>
  <si>
    <t>GENERALIZED CONGENITAL LIPODYSTROPHY, TYPE 1</t>
  </si>
  <si>
    <t>CONGENITAL MYASTHENIC SYNDROME, 8, WITH PRE- AND POSTSYNAPTIC DEFECTS</t>
  </si>
  <si>
    <t>HYPEROXALURIA, PRIMARY, TYPE I</t>
  </si>
  <si>
    <t>HYPERMETHIONINEMIA WITH S-ADENOSYLHOMOCYSTEINE HYDROLASE DEFICIENCY</t>
  </si>
  <si>
    <t>IMMUNODEFICIENCY WITH HYPER-IGM, TYPE 2</t>
  </si>
  <si>
    <t>AUTOIMMUNE POLYENDOCRINOPATHY SYNDROME TYPE I, WITH OR WITHOUT REVERSIBLE METAPHYSEAL DYSPLASIA</t>
  </si>
  <si>
    <t>RETICULAR DYSGENESIS</t>
  </si>
  <si>
    <t>LONG QT SYNDROME 11</t>
  </si>
  <si>
    <t>BILE ACID SYNTHESIS DEFECT, CONGENITAL, 2</t>
  </si>
  <si>
    <t>HYPOINSULINEMIC HYPOGLYCEMIA WITH HEMIHYPERTROPHY</t>
  </si>
  <si>
    <t>ACUTE HEPATIC PORPHYRIA; SUSCEPTIBILITY TO LEAD POISONING</t>
  </si>
  <si>
    <t>X-LINKED ERYTHROPOIETIC PROTOPORPHYRIA; TYPE 1 SIDEROBLASTIC ANEMIA</t>
  </si>
  <si>
    <t>HYPERPROLINEMIA II</t>
  </si>
  <si>
    <t>SUCCINIC SEMI-ALDEHYDE DEHYDROGENASE DEFICIENCY</t>
  </si>
  <si>
    <t>METHYLMALONATE SEMIALDEHYDE DEHYDROGENASE DEFICIENCY</t>
  </si>
  <si>
    <t>PYRIDOXINE-DEPENDENT EPILEPSY (EPD)</t>
  </si>
  <si>
    <t>HEREDITARY FRUCTOSE INTOLERANCE (HFI)</t>
  </si>
  <si>
    <t>MYOPATHY, EPILEPSY AND PROGRESSIVE BRAIN ATROPHY</t>
  </si>
  <si>
    <t>CONGENITAL MYASTHENIC SYNDROME-14; CONGENITAL GLYCOSYLATION DISORDER, TYPE II</t>
  </si>
  <si>
    <t>AUTOSOMAL RECESSIVE HYPOPHOSPHATASIA (INFANTILE)</t>
  </si>
  <si>
    <t>DEFECT IN BILE ACID SYNTHESIS, CONGENITAL, 4</t>
  </si>
  <si>
    <t>IMERSLUND-GRASBECK SYNDROME 2</t>
  </si>
  <si>
    <t>LONG QT SYNDROME 4; ANKYRIN-B-RELATED CARDIAC ARRHYTHMIA</t>
  </si>
  <si>
    <t>MEDNIK SYNDROME</t>
  </si>
  <si>
    <t>HERMANSKY-PUDLAK SYNDROME 2</t>
  </si>
  <si>
    <t>HERMANSKY-PUDLAK SYNDROME 10</t>
  </si>
  <si>
    <t>SUSCEPTIBILITY TO HYPERTRIGLYCERIDEMIA</t>
  </si>
  <si>
    <t>FAMILIAL HYPERCHOLESTEROLEMIA, 2</t>
  </si>
  <si>
    <t>HYPERLIPOPROTEINEMIA TYPE IB</t>
  </si>
  <si>
    <t>ADENINE PHOSPHORIBOSYLTRANSFERASE DEFICIENCY</t>
  </si>
  <si>
    <t>NEPHROGENIC RECESSIVE DIABETES INSIPIDUS TYPE 2</t>
  </si>
  <si>
    <t>IMMUNODEFICIENCY 62</t>
  </si>
  <si>
    <t>IMMUNODEFICIENCY 71 WITH INFLAMMATORY DISEASE AND CONGENITAL THROMBOCYTOPENIA</t>
  </si>
  <si>
    <t>METACHROMATIC LEUKODYSTROPHY (LYSOSOMAL ENZYME ARYLSULFATASE)</t>
  </si>
  <si>
    <t>MUCOPOLYSACCHARIDOSIS TYPE VI (MAROTEAUX-LAMY)</t>
  </si>
  <si>
    <t>ARGININOSUCCINIC ACIDURIA</t>
  </si>
  <si>
    <t>CLASSIC CITRULLINEMIA TYPE 1 (CIT)</t>
  </si>
  <si>
    <t>RENAL TUBULAR ACIDOSIS TYPE 3 WITH/WITHOUT DEAFNESS/HEARING LOSS</t>
  </si>
  <si>
    <t>RENAL TUBULAR ACIDOSIS TYPE 2 WITH DEAFNESS/HEARING LOSS</t>
  </si>
  <si>
    <t>MENKES' DISEASE</t>
  </si>
  <si>
    <t>WILSON DISEASE</t>
  </si>
  <si>
    <t>PROGRESSIVE FAMILIAL INTRAHEPATIC CHOLESTASIS 1; INTRAHEPATIC CHOLESTASIS OF PREGNANCY, 1; CHOLESTASIS, BENIGN RECURRENT INTRAHEPATIC</t>
  </si>
  <si>
    <t>3-METHYLGLUTACONIC ACIDURIA TYPE I</t>
  </si>
  <si>
    <t>DIABETES INSIPIDUS, NEUROPITUITARY</t>
  </si>
  <si>
    <t>NEPHROGENIC DIABETES INSIPIDUS TYPE 1</t>
  </si>
  <si>
    <t>FAMILIAL HYPERCHOLANEMIA TYPE 3</t>
  </si>
  <si>
    <t>IMMUNODEFICIENCY 60 AND AUTOIMMUNITY</t>
  </si>
  <si>
    <t>NEUROPATHY, DISTAL HEREDITARY MOTOR, AUTOSOMAL DOMINANT 15; CARDIOMYOPATHY, DILATED, 1HH; CHARCOT-MARIE-TOOTH DISEASE, AXONAL, TYPE 2JJ</t>
  </si>
  <si>
    <t>MAPLE SYRUP URINE DISEASE, TYPE IA (MSUD1A)</t>
  </si>
  <si>
    <t>MAPLE SYRUP URINE DISEASE, TYPE IB</t>
  </si>
  <si>
    <t>KETO DEHYDROGENASE DEFICIENCY BRANCHED-CHAIN KINASE</t>
  </si>
  <si>
    <t>IMMUNODEFICIENCY 37</t>
  </si>
  <si>
    <t>INTELLECTUAL DEVELOPMENTAL DISORDER WITH FACIAL DYSMORPHIA, SPEECH DELAY, AND T-CELL ABNORMALITIES.</t>
  </si>
  <si>
    <t>LEOPARD 3 SYNDROME; CARDIOFACIOCUTANEOUS SYNDROME; NOONAN SYNDROME 7</t>
  </si>
  <si>
    <t>GENERALIZED CONGENITAL LIPODYSTROPHY TYPE 2</t>
  </si>
  <si>
    <t>BARTTER'S SYNDROME, TYPE 4A; SENSORINEURAL DEAFNESS WITH MILD RENAL DYSFUNCTION</t>
  </si>
  <si>
    <t>BIHOTIDASE DEFICIENCY</t>
  </si>
  <si>
    <t>AGAMMAGLOBULINEMIA; ISOLATED GROWTH HORMONE DEFICIENCY, TYPE III, WITH AGAMMAGLOBULINEMIA</t>
  </si>
  <si>
    <t>C1Q 1 DEFICIENCY</t>
  </si>
  <si>
    <t>C1Q 2 DEFICIENCY</t>
  </si>
  <si>
    <t>C1Q 3 DEFICIENCY</t>
  </si>
  <si>
    <t>C2 DEFICIENCY</t>
  </si>
  <si>
    <t>C3 DEFICIENCY</t>
  </si>
  <si>
    <t>C5 DEFICIENCY</t>
  </si>
  <si>
    <t>C6 DEFICIENCY</t>
  </si>
  <si>
    <t>C7 DEFICIENCY</t>
  </si>
  <si>
    <t>C8 DEFICIENCY TYPE I</t>
  </si>
  <si>
    <t>C8 DEFICIENCY TYPE II</t>
  </si>
  <si>
    <t>C9 DEFICIENCY</t>
  </si>
  <si>
    <t>AUTOSOMAL RECESSIVE OSTEOPETROSIS TYPE 3, WITH RENAL TUBULAR ACIDOSIS</t>
  </si>
  <si>
    <t>HYPERAMMONEMIA DUE TO CARBONIC ANHYDRASE DEFICIENCY VA</t>
  </si>
  <si>
    <t>NONSYNDROMIC, AUTOSOMAL RECESSIVE DEAFNESS 93 (DFNB93)</t>
  </si>
  <si>
    <t>TIMOTHY SYNDROME</t>
  </si>
  <si>
    <t>BRUGADA SYNDROME 4</t>
  </si>
  <si>
    <t>DEVELOPMENTAL AND EPILEPTIC ENCEPHALOPATHY</t>
  </si>
  <si>
    <t>CATECHOLAMINERGIC POLYMORPHIC VENTRICULAR TACHYCARDIA 4 (CPVT4)</t>
  </si>
  <si>
    <t>LONG QT SYNDROME 15 (LQT15)</t>
  </si>
  <si>
    <t>IMMUNODEFICIENCY 11A</t>
  </si>
  <si>
    <t>IMMUNODEFICIENCY 103, SUSCEPTIBILITY TO FUNGAL INFECTION</t>
  </si>
  <si>
    <t>IMMUNODEFICIENCY 58</t>
  </si>
  <si>
    <t>CASPASE 8 LYMPHADENOPATHY SYNDROME</t>
  </si>
  <si>
    <t>VENTRICULAR TACHYCARDIA, POLYMORPHIC CATECHOLAMINERGIC, 2 (RECESSIVE)</t>
  </si>
  <si>
    <t>HYPERPARATHYROIDISM, SEVERE NEONATAL; HYPOCALCEMIA, WITH OR WITHOUT BARTTER SYNDROME</t>
  </si>
  <si>
    <t>PRIMARY PULMONARY HYPERTENSION, 3; PARTIAL LIPODYSTROPHY, CONGENITAL CATARACTS AND NEURODEGENERATION SYNDROME; GENERALIZED CONGENITAL LIPODYSTROPHY, TYPE 3</t>
  </si>
  <si>
    <t>LONG QT SYNDROME 9</t>
  </si>
  <si>
    <t>GENERALIZED CONGENITAL LIPODYSTROPHY TYPE 4</t>
  </si>
  <si>
    <t>INTRINSIC FACTOR DEFICIENCY</t>
  </si>
  <si>
    <t>CYSTIONURIA DUE TO CYSTATHIONINE BETA-SYNTHASE DEFICIENCY</t>
  </si>
  <si>
    <t>CILIARY DYSKINESIA, PRIMARY, 14</t>
  </si>
  <si>
    <t>CILIARY DYSKINESIA, PRIMARY, 15</t>
  </si>
  <si>
    <t>AUTOSOMAL DOMINANT DEAFNESS 44</t>
  </si>
  <si>
    <t>CILIARY DYSKINESIA, PRIMARY, 29</t>
  </si>
  <si>
    <t>IMMUNODEFICIENCY, COMMON VARIABLE, 3</t>
  </si>
  <si>
    <t>DEFAULT CD3-ZETA IMMUNODEFICIENCY (IMMUNODEFICIENCY 25)</t>
  </si>
  <si>
    <t>LYMPHOPROLIFERATIVE SYNDROME 2</t>
  </si>
  <si>
    <t>IMMUNODEFICIENCY 123 WITH HPV-RELATED WART</t>
  </si>
  <si>
    <t>METHYLMALONIC ACIDURIA, TRANSIENT, DUE TO TRANSCOBALAMIN RECEPTOR DEFECT</t>
  </si>
  <si>
    <t>SEVERE COMBINED IMMUNODEFICIENCY 19</t>
  </si>
  <si>
    <t>SEVERE COMBINED IMMUNODEFICIENCY 18</t>
  </si>
  <si>
    <t>SEVERE COMBINED IMMUNODEFICIENCY 17, DEFICIENT CD3 GAMMA</t>
  </si>
  <si>
    <t>IMMUNODEFICIENCY WITH HYPER-IGM, TYPE 3</t>
  </si>
  <si>
    <t>IMMUNODEFICIENCY, X-LINKED, WITH HYPER-IGM</t>
  </si>
  <si>
    <t>SUSCEPTIBILITY TO HEMOLYTIC UREMIC SYNDROME, ATYPICAL, 2</t>
  </si>
  <si>
    <t>CROMER BLOOD GROUP</t>
  </si>
  <si>
    <t>CD59-MEDIATED HEMOLYTIC ANEMIA, WITH OR WITHOUT IMMUNE-MEDIATED POLYNEUROPATHY.</t>
  </si>
  <si>
    <t>IMMUNE DYSREGULATION LYMPHOPROLIFERATIVE SYNDROME TYPE 3</t>
  </si>
  <si>
    <t>IMMUNODEFICIENCY, COMMON VARIABLE, 6</t>
  </si>
  <si>
    <t>FAMILIAL PRIMARY HYPERPARATHYROIDISM WITH MULTIPLE OSSIFYING FIBROIDS OF THE JAW</t>
  </si>
  <si>
    <t>IMMUNODEFICIENCY SYNDROME, CENTROMERIC INSTABILITY, AND FACIAL ABNORMALITIES TYPE 3</t>
  </si>
  <si>
    <t>USHER SYNDROME, TYPE 1D; NONSYNDROMIC, AUTOSOMAL RECESSIVE DEAFNESS 12 (DFNB12)</t>
  </si>
  <si>
    <t>IMAGE SYNDROME</t>
  </si>
  <si>
    <t>AUTOSOMAL DOMINANT DEAFNESS 4B; AUTOSOMAL RECESSIVE DEAFNESS 113</t>
  </si>
  <si>
    <t>SPECIFIC GRANULE DEFICIENCY TYPE 1</t>
  </si>
  <si>
    <t>CILIARY DYSKINESIA, PRIMARY, 26</t>
  </si>
  <si>
    <t>CILIARY DYSKINESIA, PRIMARY, 38</t>
  </si>
  <si>
    <t>COMPLEMENT FACTOR B DEFICIENCY</t>
  </si>
  <si>
    <t>COMPLEMENT FACTOR D DEFICIENCY</t>
  </si>
  <si>
    <t>AUTOSOMAL RECESSIVE COMPLEMENT FACTOR H DEFICIENCY</t>
  </si>
  <si>
    <t>SUSCEPTIBILITY TO HEMOLYTIC UREMIC SYNDROME, ATYPICAL</t>
  </si>
  <si>
    <t>COMPLEMENT FACTOR I DEFICIENCY</t>
  </si>
  <si>
    <t>X-LINKED PROPERDIN DEFICIENCY</t>
  </si>
  <si>
    <t>CYSTIC FIBROSIS (CF)</t>
  </si>
  <si>
    <t>MYASTHENIC SYNDROME, CONGENITAL, 6, PRRESINAPTIC</t>
  </si>
  <si>
    <t>CONGENITAL MYASTHENIC SYNDROME, 1B, RAPID CHANNEL</t>
  </si>
  <si>
    <t>CONGENITAL MYASTHENIC SYNDROME, 2C, ASSOCIATED WITH ACETYLCHOLINE RECEPTOR DEFICIENCY; CONGENITAL MYASTHENIC SYNDROME, 2A, SLOW CHANNEL</t>
  </si>
  <si>
    <t>CONGENITAL MYASTHENIC SYNDROME, 3C, ASSOCIATED WITH ACETYLCHOLINE RECEPTOR DEFICIENCY; CONGENITAL MYASTHENIC SYNDROME, 3B, FAST CANAL; CONGENITAL MYASTHENIC SYNDROME, 3A, SLOW CHANNEL</t>
  </si>
  <si>
    <t>MYASTHENIC SYNDROME, CONGENITAL, 4A; 4B; 4C</t>
  </si>
  <si>
    <t>NONSYNDROMIC, AUTOSOMAL RECESSIVE DEAFNESS 48</t>
  </si>
  <si>
    <t>NAKED LYMPHOCYTE SYNDROME, TYPE II, COMPLEMENTARITY GROUP A – MHC DEFICIENCY CLASS II 1</t>
  </si>
  <si>
    <t>OSTEOPETROSIS TYPE 4, AUTOSOMAL RECESSIVE AND DOMINANT</t>
  </si>
  <si>
    <t>BARTTER SYNDROME 3</t>
  </si>
  <si>
    <t>NON-SYNDROMIC, AUTOSOMAL RECESSIVE DEAFNESS 29</t>
  </si>
  <si>
    <t>NONSYNDROMIC, AUTOSOMAL RECESSIVE DEAFNESS 81 (PERRAULT SYNDROME 3)</t>
  </si>
  <si>
    <t>USHER SYNDROME, TYPE 3A</t>
  </si>
  <si>
    <t>STICKLER SYNDROME, TYPE II; MARSHALL SYNDROME; AUTOSOMAL DOMINANT DEAFNESS 37</t>
  </si>
  <si>
    <t>NON-SYNDROMIC, AUTOSOMAL RECESSIVE DEAFNESS 53</t>
  </si>
  <si>
    <t>CONGENITAL MYASTHENIC SYNDROME TYPE 19</t>
  </si>
  <si>
    <t>OSTEOGENESIS IMPERFECTA, TYPE I</t>
  </si>
  <si>
    <t>OSTEOGENESIS IMPERFECTA, TYPE III; POSTMENOPAUSAL OSTEOPOROSIS; EHLERS-DANLOS SYNDROME, ARTHROCHALASIA TYPE, 2; COMBINED OSTEOGENESIS IMPERFECTA SYNDROME AND EHLERS-DANLOS TYPE 2; EHLERS-DANLOS SYNDROME, HEART VALVE TYPE; OSTEOGENESIS IMPERFECTA, TYPE II</t>
  </si>
  <si>
    <t>EHLERS-DANLOS SYNDROME, VASCULAR TYPE; POLYMICROGYRIA WITH OR WITHOUT VASCULAR EHLERS-DANLOS SYNDROME</t>
  </si>
  <si>
    <t>ALPORT 3A SYNDROME (ATS3A)</t>
  </si>
  <si>
    <t>AUTOSOMAL RECESSIVE ALPORT 2 SYNDROME (ATS2)</t>
  </si>
  <si>
    <t>ALPORT 1 SYNDROME (ATS1)</t>
  </si>
  <si>
    <t>CONGENITAL MYASTHENIC SYNDROME TYPE 5</t>
  </si>
  <si>
    <t>SYSTEMIC AUTOINFLAMMATION AND AUTOIMMUNITY WITH IMMUNE DYSREGULATION 1</t>
  </si>
  <si>
    <t>COENZYME Q10 DEFICIENCY, PRIMARY, 1</t>
  </si>
  <si>
    <t>COENZYME Q10 DEFICIENCY, PRIMARY, 7</t>
  </si>
  <si>
    <t>COENZYME Q10 DEFICIENCY, PRIMARY, 9 </t>
  </si>
  <si>
    <t>COENZYME Q10 DEFICIENCY, PRIMARY, 6</t>
  </si>
  <si>
    <t>COENZYME Q10 DEFICIENCY, PRIMARY, 8</t>
  </si>
  <si>
    <t>COENZYME Q10 DEFICIENCY, PRIMARY, 4</t>
  </si>
  <si>
    <t>NEPHROTIC SYNDROME, TYPE 9</t>
  </si>
  <si>
    <t>COENZYME Q10 DEFICIENCY, PRIMARY, 5</t>
  </si>
  <si>
    <t>IMMUNODEFICIENCY 8</t>
  </si>
  <si>
    <t>CARBAMOYL PHOSPHATE SYNTHETASE 1 (CPS1) DEFICIENCY</t>
  </si>
  <si>
    <t>CARNITINE PALMITOYLTRANSFERASE 1 (CPT-1) DEFICIENCY, LIVER, TYPE IA</t>
  </si>
  <si>
    <t>CARNITINE PALMITOYLTRANSFERASE 2 (CPT-2) INTANTIL DEFICIENCY; NEONATAL; STRESS-INDUCED MYOPATHIC</t>
  </si>
  <si>
    <t>IMMUNODEFICIENCY, COMMON VARIABLE, 7</t>
  </si>
  <si>
    <t>DYSFUNCTION OF SURFACTANT METABOLISM, PULMONARY, 4</t>
  </si>
  <si>
    <t>DYSFUNCTION OF SURFACTANT METABOLISM, PULMONARY, 5</t>
  </si>
  <si>
    <t>SEVERE CONGENITAL NEUTROPENIA, 7, AUTOSOMAL RECESSIVE</t>
  </si>
  <si>
    <t>IMMUNE DYSREGULATION WITH AUTOIMMUNITY, IMMUNODEFICIENCY, AND LYMPHOPROLIFERATION.</t>
  </si>
  <si>
    <t>NEPHROPIC CYSTINOSIS; JUVENILE OR ADOLESCENT LATE-ONSET NEPHROPIC CYSTINOSIS; NON-NEPHROPIC OCULAR CYSTINOSIS</t>
  </si>
  <si>
    <t>HAIM-MUNK SYNDROME; PAPILLON-LEFÈVRE SYNDROME</t>
  </si>
  <si>
    <t>PYCNODYSOSTOSIS</t>
  </si>
  <si>
    <t>IMERSLUND-GRASBECK SYNDROME 1</t>
  </si>
  <si>
    <t>PSEUDOHYPOALDOSTERONISM, TYPE IIE</t>
  </si>
  <si>
    <t>WHIM SYNDROME</t>
  </si>
  <si>
    <t>CHRONIC GRANULOMATOUS DISEASE TYPE 4</t>
  </si>
  <si>
    <t>X-LINKED CHRONIC GRANULOMATOUS DISEASE</t>
  </si>
  <si>
    <t>CHRONIC GRANULOMATOUS DISEASE TYPE 5</t>
  </si>
  <si>
    <t>ADRENAL, CONGENITAL, WITH SEXUAL INVERSION 46XY, PARTIAL OR COMPLETE</t>
  </si>
  <si>
    <t>ADRENAL CONGENITAL HYPERPLASIA DUE TO 11-BETA-HYDROXYLASE DEFICIENCY</t>
  </si>
  <si>
    <t>CONGENITAL HYPOALDOSTERONISM DUE TO CMO I DEFICIENCY</t>
  </si>
  <si>
    <t>CONGENITAL ADRENAL HYPERPLASIA DUE TO 17-ALPHA-HYDROXYLASE DEFICIENCY</t>
  </si>
  <si>
    <t>CONGENITAL ADRENAL HYPERPLASIA DUE TO 21-HYDROXYLASE DEFICIENCY</t>
  </si>
  <si>
    <t>CEREBROTENDINOUS XANTHOMATOSIS</t>
  </si>
  <si>
    <t>VITAMIN D-DEPENDENT RICKETS, TYPE I</t>
  </si>
  <si>
    <t>RICKETS DUE TO DEFICIENCY IN VITAMIN D 25-HYDROXYLATION</t>
  </si>
  <si>
    <t>DEFECT IN BILE ACID SYNTHESIS, CONGENITAL, 3</t>
  </si>
  <si>
    <t>ORTHOSTATIC HYPOTENSION 1, DUE TO DOPAMINE BETA-MONOOXYGENASE DEFICIENCY</t>
  </si>
  <si>
    <t>MAPLE SYRUP URINE DISEASE, TYPE II</t>
  </si>
  <si>
    <t>SEVERE COMBINED IMMUNODEFICIENCY, ATHABASCAN TYPE; OMENN SYNDROME</t>
  </si>
  <si>
    <t>XERODERMA PIGMENTOSUM, GROUP E, DDB-NEGATIVE SUBTYPE</t>
  </si>
  <si>
    <t>AROMATIC L-AMINO ACID DECARBOXYLASE DEFICIENCY</t>
  </si>
  <si>
    <t>DIARRHEA 7, PROTEIN-LOSING ENTEROPATHY TYPE</t>
  </si>
  <si>
    <t>SMITH-LEMLI-OPITZ SYNDROME</t>
  </si>
  <si>
    <t>MEGALOBLASTIC ANEMIA DUE TO DIHYDROFOLATE REDUCTASE DEFICIENCY</t>
  </si>
  <si>
    <t>AUTOSOMAL DOMINANT DEAFNESS TYPE 1, WITH OR WITHOUT THROMBOCYTOPENIA; SEIZURES, CORTICAL BLINDNESS, MICROCEPHALY SYNDROME</t>
  </si>
  <si>
    <t>THYROID HORMONE METABOLISM, ABNORMAL, 2</t>
  </si>
  <si>
    <t>DYSKERATOSIS CONGENITA, LINKED TO THE X CHROMOSOME</t>
  </si>
  <si>
    <t>PYRUVATE DEHYDROGENASE E2 DEFICIENCY</t>
  </si>
  <si>
    <t>DIHYDROLIPOAMIDE DEHYDROGENASE DEFICIENCY</t>
  </si>
  <si>
    <t>BECKER'S MUSCULAR DYSTROPHY</t>
  </si>
  <si>
    <t>AUTOSOMAL RECESSIVE HYPOPHOSPHATEMIC RICKETS TYPE 1</t>
  </si>
  <si>
    <t>CILIARY DYSKINESIA, PRIMARY, 13</t>
  </si>
  <si>
    <t>CILIARY DYSKINESIA, PRIMARY, 19</t>
  </si>
  <si>
    <t>PRIMARY CILIARY DYSKINESIA, 17</t>
  </si>
  <si>
    <t>CILIARY DYSKINESIA, PRIMARY, 10</t>
  </si>
  <si>
    <t>CILIARY DYSKINESIA, PRIMARY, 2</t>
  </si>
  <si>
    <t>CILIARY DYSKINESIA, PRIMARY, 25</t>
  </si>
  <si>
    <t>CILIARY DYSKINESIA, PRIMARY, 18</t>
  </si>
  <si>
    <t>CILIARY DYSKINESIA, PRIMARY, 7, WITH OR WITHOUT SITUS INVERSUS</t>
  </si>
  <si>
    <t>CILIARY DYSKINESIA, PRIMARY, 3, WITH OR WITHOUT SITUS INVERSUS</t>
  </si>
  <si>
    <t>CILIARY DYSKINESIA, PRIMARY, 40</t>
  </si>
  <si>
    <t>CILIARY DYSKINESIA, PRIMARY, 1, WITH OR WITHOUT SITUS INVERSUS (KARTAGENER SYNDROME)</t>
  </si>
  <si>
    <t>CILIARY DYSKINESIA, PRIMARY, 9, WITH OR WITHOUT SITUS INVERSUS</t>
  </si>
  <si>
    <t>MILD HYPERPHENYLALANINEMIA, NO BH4 DEFICIENCY</t>
  </si>
  <si>
    <t>DNAJC21-RELATED SHWACHMAN-DIAMOND SYNDROME – BONE MARROW FAILURE SYNDROME TYPE 3</t>
  </si>
  <si>
    <t>CILIARY DYSKINESIA, PRIMARY, 16</t>
  </si>
  <si>
    <t>SYSTEMIC LUPUS ERYTHEMATOSUS 16</t>
  </si>
  <si>
    <t>IMMUNODEFICIENCY SYNDROME-CENTROMERIC INSTABILITY-FACIAL ABNORMALITIES 1</t>
  </si>
  <si>
    <t>IMMUNODEFICIENCY 40</t>
  </si>
  <si>
    <t>RECURRENT HYPER-IGE INFECTION SYNDROME</t>
  </si>
  <si>
    <t>CONGENITAL MYASTHENIC SYNDROME TYPE 10</t>
  </si>
  <si>
    <t>CILIARY DYSKINESIA, PRIMARY, 21</t>
  </si>
  <si>
    <t>PRIMARY CILIARY DYSKINESIA, 27</t>
  </si>
  <si>
    <t>PRIMARY CILIARY DYSKINESIA, 33</t>
  </si>
  <si>
    <t>CONGENITAL HYPOTHYROIDISM 6</t>
  </si>
  <si>
    <t>CONGENITAL HYPOTHYROIDISM 5</t>
  </si>
  <si>
    <t>ECTODERMAL DYSPLASIA 1, HYPOHYDROTIC, X-LINKED</t>
  </si>
  <si>
    <t>ECTODERMAL DYSPLASIA 10A, HYPOHYDROTIC/HAIR/NAIL TYPE, AUTOSOMAL DOMINANT; ECTODERMAL DYSPLASIA 10B, HYPOHYDROTIC/HAIR/TEETH, AUTOSOMAL RECESSIVE</t>
  </si>
  <si>
    <t>ECTODERMAL DYSPLASIA 11A, HYPOHYDROTIC/HAIR/TEETH, AUTOSOMAL DOMINANT; ECTODERMAL DYSPLASIA 11B, HYPOHYDROTIC/HAIR/TEETH, AUTOSOMAL RECESSIVE</t>
  </si>
  <si>
    <t>WAARDENBURG SYNDROME, TYPE 4B;  SUSCEPTIBILITY TO HIRSCHSPRUNG'S DISEASE, 4</t>
  </si>
  <si>
    <t>SUSCEPTIBILITY TO HIRSCHSPRUNG'S DISEASE, 2; ABCD SYNDROME; WAARDENBURG SYNDROME, TYPE 4A</t>
  </si>
  <si>
    <t>SHWACHMAN-DIAMOND 2 SYNDROME</t>
  </si>
  <si>
    <t>MULTIPLE EPIPHYSEAL DYSPLASIA WITH EARLY-ONSET DIABETES MELLITUS, WOLCOTT-RALLISON SYNDROME</t>
  </si>
  <si>
    <t>CUTIS LAXA, AUTOSOMAL DOMINANT 1</t>
  </si>
  <si>
    <t>TELANGIECTASIA, HEREDITARY HEMORRHAGIC, TYPE 1</t>
  </si>
  <si>
    <t>XERODERMA PIGMENTOSUM, GROUP D</t>
  </si>
  <si>
    <t>XERODERMA PIGMENTOSUM, GROUP B</t>
  </si>
  <si>
    <t>XERODERMA PIGMENTOSUM, GROUP F; FANCONI ANEMIA, Q COMPLEMENTATION GROUP (FCCA)</t>
  </si>
  <si>
    <t>XERODERMA PIGMENTOSUM, GROUP G</t>
  </si>
  <si>
    <t>AUTOSOMAL RECESSIVE DEAFNESS 36; USHER SYNDROME, TYPE 1M</t>
  </si>
  <si>
    <t>AUTOSOMAL RECESSIVE DEAFNESS 35</t>
  </si>
  <si>
    <t>GLUTARIC ACIDEMIA IIA</t>
  </si>
  <si>
    <t>GLUTARIC ACIDEMIA IIB</t>
  </si>
  <si>
    <t>GLUTARIC ACIDEMIA IIC</t>
  </si>
  <si>
    <t>FACTOR X DEFICIENCY</t>
  </si>
  <si>
    <t>FACTOR XIIIA DEFICIENCY</t>
  </si>
  <si>
    <t>FACTOR XIIIIB DEFICIENCY</t>
  </si>
  <si>
    <t>PROTHROMBIN DEFICIENCY, CONGENITAL (DYSPROTHROMBINEMIA, HYPOPROTHROMBINEMIA)</t>
  </si>
  <si>
    <t>FACTOR V DEFICIENCY; TROMBOPHILIA 2 DUE TO RESISTANCE TO ACTIVATED PROTEIN C (HOMOZYGOUS)</t>
  </si>
  <si>
    <t>FACTOR VII DEFICIENCY</t>
  </si>
  <si>
    <t>HEMOPHILIA A</t>
  </si>
  <si>
    <t>HEMOPHILIA B; X-LINKED THROMBOPHILIA, BY DEFAULT OF FACTOR IX</t>
  </si>
  <si>
    <t>TYROSINEMIA TYPE I</t>
  </si>
  <si>
    <t>KENNY-CAFFEY SYNDROME TYPE 2</t>
  </si>
  <si>
    <t>FANCONI ANEMIA, COMPLEMENTATION GROUP A (FANCA)</t>
  </si>
  <si>
    <t>FANCONI ANEMIA, SUPPLEMENTATION GROUP B</t>
  </si>
  <si>
    <t>FANCONI ANEMIA, SUPPLEMENTATION GROUP C (FANCC)</t>
  </si>
  <si>
    <t>FANCONI ANEMIA, COMPLEMENTATION GROUP D2</t>
  </si>
  <si>
    <t>FANCONI ANEMIA, COMPLEMENTATION GROUP E</t>
  </si>
  <si>
    <t>FANCONI ANEMIA, SUPPLEMENTATION GROUP F</t>
  </si>
  <si>
    <t>FANCONI ANEMIA, SUPPLEMENTATION GROUP G (FANCG)</t>
  </si>
  <si>
    <t>FANCONI ANEMIA, COMPLEMENTATION GROUP I</t>
  </si>
  <si>
    <t>FANCONI ANEMIA, SUPPLEMENTATION GROUP L</t>
  </si>
  <si>
    <t>MARFAN SYNDROME TYPE 1 (MFS1)</t>
  </si>
  <si>
    <t>FRUCTOSE BISPHOSPHATASE DEFICIENCY</t>
  </si>
  <si>
    <t>IMMUNODEFICIENCY 76</t>
  </si>
  <si>
    <t>LEUKOCYTE ADHESION DEFICIENCY TYPE III</t>
  </si>
  <si>
    <t>FGA GENE-RELATED CONGENITAL AFIBRINOGENEMIA</t>
  </si>
  <si>
    <t>FGB-RELATED AFIBRINOGENEMIA OR CONGENITAL HYPOFIBRINOGENEMIA</t>
  </si>
  <si>
    <t>FAMILIAL HYPERPHOSPHATEMIC TUMOR CALCINOSIS TYPE 2</t>
  </si>
  <si>
    <t>DEAFNESS, CONGENITAL WITH AGENESIS OF THE INNER EAR, MICROTIA AND MICRODONTIA</t>
  </si>
  <si>
    <t>MUENKE'S SYNDROME</t>
  </si>
  <si>
    <t>FGG-RELATED AFIBRINOGENEMIA OR CONGENITAL HYPOFIBRINOGENEMIA</t>
  </si>
  <si>
    <t>FUMARASE DEFICIENCY</t>
  </si>
  <si>
    <t>LIPID STORAGE MYOPATHY DUE TO FLAVIN ADENINE DINUCLEOTIDE SYNTHETASE DEFICIENCY (LSMFLAD)</t>
  </si>
  <si>
    <t>NEURODEGENERATION DUE TO DEFICIENCY IN BRAIN FOLATE TRANSPORT</t>
  </si>
  <si>
    <t>BAMFORTH-LAZARUS SYNDROME</t>
  </si>
  <si>
    <t>CILIARY DYSKINESIA, PRIMARY, 43</t>
  </si>
  <si>
    <t>T-CELL IMMUNODEFICIENCY, CONGENITAL ALOPECIA, AND NAIL DYSTROPHY; INFANTILE T-CELL LYMPHOPENIA, WITH OR WITHOUT NAIL DYSTROPHY, AUTOSOMAL DOMINANT</t>
  </si>
  <si>
    <t>X-LINKED IMMUNE DYSREGULATION, POLYENDOCRINOPATHY, AND ENTEROPATHY</t>
  </si>
  <si>
    <t>FORMIMINOTRANSFERASE GLUTAMATE DEFICIENCY</t>
  </si>
  <si>
    <t>GLYCOGEN STORAGE DISEASE AI</t>
  </si>
  <si>
    <t>NEUTROPENIA, SEVERE CONGENITAL 4, AUTOSOMAL RECESSIVE; DURSUN SYNDROME</t>
  </si>
  <si>
    <t>NONSPHEROCYTIC HEMOLYTIC CONGENITAL ANEMIA TYPE 1</t>
  </si>
  <si>
    <t>GLYCOGEN STORAGE DISEASE II (POMPE)</t>
  </si>
  <si>
    <t>KRAVBE DISEASE</t>
  </si>
  <si>
    <t>GALACTOSEMIA DUE TO EPIMERASE DEFICIENCY</t>
  </si>
  <si>
    <t>GALACTOKINASE DEFICIENCY GALACTOSEMIA (GALK)</t>
  </si>
  <si>
    <t>GALACTOSEMIA DUE TO MUTAROTASE DEFICIENCY (GALM) GALACTOSEMIA IV</t>
  </si>
  <si>
    <t>MUCOPOLYSACCHARIDOSIS TYPE IVA</t>
  </si>
  <si>
    <t>FAMILIAL HYPERPHOSPHATEMIC TUMOR CALCINOSIS TYPE 1</t>
  </si>
  <si>
    <t>GALACTOSE-1-P-URIDYL TRANSFERASE DEFICIENCY GALACTOSEMIA (CLASSIC) (GALT)</t>
  </si>
  <si>
    <t>BRAIN CREATINE DEFICIENCY SYNDROME 2</t>
  </si>
  <si>
    <t>IMMUNODEFICIENCY 21</t>
  </si>
  <si>
    <t>BRAIN CREATINE DEFICIENCY SYNDROME 3</t>
  </si>
  <si>
    <t>GAUCHER DISEASE (PERINATAL LETHAL, TYPE I, TYPE II, TYPE III, TYPE IIIC)</t>
  </si>
  <si>
    <t>GLUTARIC ACIDURIA TYPE I (GA 1)</t>
  </si>
  <si>
    <t>HYPERPHENYLALANINEMIA, BH4, B DEFICIENCY; DYSTONIA, DOPA-SENSITIVE, WITH OR WITHOUT HYPERPHENYLALANINEMIA</t>
  </si>
  <si>
    <t>PERMANENT NEONATAL DIABETES MELLITUS 1; FAMILIAL HYPERINSULINEMIC HYPOGLYCEMIA TYPE 3</t>
  </si>
  <si>
    <t>FAMILIAL ISOLATED HYPOPARATHYROIDISM 2, AUTOSOMAL RECESSIVE</t>
  </si>
  <si>
    <t>COMBINED VITAMIN K-DEPENDENT COAGULATION FACTOR DEFICIENCY,1; PSEUDOXANTHOMA ELASTICUS-LIKE DISORDER WITH MULTIPLE CLOTTING FACTOR DEFICIENCY.</t>
  </si>
  <si>
    <t>ISOLATED GROWTH HORMONE DEFICIENCY TYPE 1A, AUTOSOMAL RECESSIVE; ISOLATED GROWTH HORMONE DEFICIENCY TYPE 1B, AUTOSOMAL RECESSIVE; ISOLATED AUTOSOMAL DOMINANT TYPE II GROWTH HORMONE DEFICIENCY</t>
  </si>
  <si>
    <t>PARTIAL INSENSITIVITY TO GROWTH HORMONE</t>
  </si>
  <si>
    <t>ISOLATED GROWTH HORMONE DEFICIENCY TYPE 4</t>
  </si>
  <si>
    <t>NON-SYNDROMIC, AUTOSOMAL RECESSIVE DEAFNESS 15</t>
  </si>
  <si>
    <t>NON-SYNDROMIC DEAFNESS, AUTOSOMAL RECESSIVE 1A; GJB2-RELATED DEAFNESS AND RELATED DISORDERS (NONSYNDROMIC, AUTOSOMAL DOMINANT 3A DEAFNESS)</t>
  </si>
  <si>
    <t>NON-SYNDROMIC, AUTOSOMAL RECESSIVE 1B DEAFNESS</t>
  </si>
  <si>
    <t>FABRY'S DISEASE</t>
  </si>
  <si>
    <t>NEONATAL DIABETES MELLITUS WITH CONGENITAL HYPOTHYROIDISM</t>
  </si>
  <si>
    <t>HYPERINSULINISM-HYPERAMMONEMIA SYNDROME</t>
  </si>
  <si>
    <t>BERNARD-SOULIER SYNDROME, TYPE A1/A2; PSEUDO - VON WILLEBRAND DISEASE, PLATELET TYPE</t>
  </si>
  <si>
    <t>BERNARD-SOULIER SYNDROME, TYPE B</t>
  </si>
  <si>
    <t>BERNARD-SOULIER SYNDROME, TYPE C</t>
  </si>
  <si>
    <t>HYPERLIPOPROTEINEMIA TYPE 1D</t>
  </si>
  <si>
    <t>GROWTH HORMONE-SECRETING PITUITARY ADENOMA TYPE 2</t>
  </si>
  <si>
    <t>CHUDLEY-MCCULLOUGH SYNDROME</t>
  </si>
  <si>
    <t>HYPEROXALURIA, PRIMARY, TYPE II</t>
  </si>
  <si>
    <t>NEURODEVELOPMENTAL DISORDER WITH OR WITHOUT HYPERKINETIC MOVEMENTS AND SEIZURES, AUTOSOMAL RECESSIVE; NEURODEVELOPMENTAL DISORDER WITH OR WITHOUT HYPERKINETIC MOVEMENTS AND SEIZURES, AUTOSOMAL DOMINANT.</t>
  </si>
  <si>
    <t>FOCAL EPILEPSY, WITH SPEECH DISORDER AND WITH OR WITHOUT IMPAIRMENT OF INTELLECTUAL DEVELOPMENT.</t>
  </si>
  <si>
    <t>INTELLECTUAL DEVELOPMENTAL DISORDER, AUTOSOMAL DOMINANT 6, WITH OR WITHOUT SEIZURES.</t>
  </si>
  <si>
    <t>DEVELOPMENTAL AND EPILEPTIC ENCEPHALOPATHY 46</t>
  </si>
  <si>
    <t>NON-SYNDROMIC, AUTOSOMAL RECESSIVE DEAFNESS 25</t>
  </si>
  <si>
    <t>GLUTATHIONE SYNTHETASE DEFICIENCY</t>
  </si>
  <si>
    <t>MUCOPOLYSACCHARIDOSIS VII</t>
  </si>
  <si>
    <t>GLYCOGEN STORAGE DISEASE 0, LIVER</t>
  </si>
  <si>
    <t>3-HYDROXY ACYL COA LONG-CHAIN FATTY ACID DEHYDROGENASE (LCHAD) DEFICIENCY; MITOCHONDRIAL TRIFUNCTIONAL PROTEIN DEFICIENCY 1; MITOCHONDRIAL TRIFUNCTIONAL PROTEIN DEFICIENCY</t>
  </si>
  <si>
    <t>LONG-CHAIN 3-HYDROXYACYL-COA DEHYDROGENASE DEFICIENCY</t>
  </si>
  <si>
    <t>TRIFUNCTIONAL PROTEIN DEFICIENCY (TFP)</t>
  </si>
  <si>
    <t>HEMOCHROMATOSIS TYPE 2B</t>
  </si>
  <si>
    <t>PERRAULT SYNDROME 2</t>
  </si>
  <si>
    <t>T-CELL LYMPHOMA, SIMILAR TO SUBCUTANEOUS PANNICULITIS</t>
  </si>
  <si>
    <t>NEUTROPENIA, SEVERE CONGENITAL 3, AUTOSOMAL RECESSIVE</t>
  </si>
  <si>
    <t>HEMOGLOBIN H DISEASE, NON-DELETIONAL; THALASSEMIA, ALPHA-</t>
  </si>
  <si>
    <t>HEMOGLOBIN H DISEASE, DELETIONAL AND NON-DELETIONAL; THALASSEMIA, ALPHA-</t>
  </si>
  <si>
    <t>SICKLE CELL ANEMIA; THALASSEMIAS, BETA- (MAJOR, RA)</t>
  </si>
  <si>
    <t>METHYLMALONIC ACIDEMIA WITH HOMOCYSTINURIA, TYPE CBLX</t>
  </si>
  <si>
    <t>IMMUNODEFICIENCY SYNDROME, CENTROMERIC INSTABILITY, AND FACIAL ABNORMALITIES TYPE 4</t>
  </si>
  <si>
    <t>COMBINED PITUITARY HORMONE DEFICIENCY TYPE 5</t>
  </si>
  <si>
    <t>ALKAPTONURIA</t>
  </si>
  <si>
    <t>NONSYNDROMIC, AUTOSOMAL RECESSIVE DEAFNESS 39</t>
  </si>
  <si>
    <t>HOLOCARBOXYLASE SYNTHETASE DEFICIENCY</t>
  </si>
  <si>
    <t>PORPHYRIA-RELATED LEUKOENCEPHALOPATHY; PORPHYRIA-RELATED ENCEPHALOPATHY; ACUTE INTERMITTENT PORPHYRIA; ACUTE INTERMITTENT PORPHYRIA, NON-ERYTHROID VARIANT</t>
  </si>
  <si>
    <t>3-HYDROXY-3-METHYLGLUTARIC ACIDURIA</t>
  </si>
  <si>
    <t>HMG-COA SYNTHASE-2 DEFICIENCY</t>
  </si>
  <si>
    <t>INSULIN-DEPENDENT DIABETES MELLITUS-1</t>
  </si>
  <si>
    <t>KIDNEY CYST SYNDROME AND DIABETES</t>
  </si>
  <si>
    <t>FANCONI RENOTUBULAR SYNDROME 4, WITH DIABETES OF MATURITY IN YOUNG PEOPLE.</t>
  </si>
  <si>
    <t>HYPEROXALURIA, PRIMARY, TYPE III</t>
  </si>
  <si>
    <t>TYROSINEMIA TYPE III</t>
  </si>
  <si>
    <t>HYPERURICEMIA, HRPT-RELATED</t>
  </si>
  <si>
    <t>APPARENT EXCESS OF MINERALOCORTICOIDS</t>
  </si>
  <si>
    <t>CONGENITAL ADRENAL HYPERPLASIA DUE TO 3-BETA-HYDROXYSTEROID DEHYDROGENASE 2 DEFICIENCY</t>
  </si>
  <si>
    <t>BILE ACID SYNTHESIS DEFECT, CONGENITAL, 1</t>
  </si>
  <si>
    <t>CILIARY DYSKINESIA, PRIMARY, 5</t>
  </si>
  <si>
    <t>D-2-HYDROXYGLUTARIC ACIDURIA 2</t>
  </si>
  <si>
    <t>MUCOPOLYSACCHARIDOSIS TYPE II (HUNTER)</t>
  </si>
  <si>
    <t>MUCOPOLYSACCHARIDOSIS TYPE I (HURLER); I H/S (HURLER-SCHEIE); I S (SCHEIE)</t>
  </si>
  <si>
    <t>OSTEOGENESIS IMPERFECTA, TYPE V</t>
  </si>
  <si>
    <t>IMMUNODEFICIENCY 27A, ASSOCIATED WITH MYCOBACTERIOSIS, AUTOSOMAL RECESSIVE; IMMUNODEFICIENCY 27B, ASSOCIATED WITH MYCOBACTERIOSIS, AUTOSOMAL DOMINANT</t>
  </si>
  <si>
    <t>IMMUNODEFICIENCY 28, ASSOCIATED WITH MYCOBACTERIOSIS</t>
  </si>
  <si>
    <t>INSULIN-LIKE GROWTH FACTOR I (IGF-I) DEFICIENCY</t>
  </si>
  <si>
    <t>CONGENITAL HYPOTHYROIDISM, OTHER (XL)</t>
  </si>
  <si>
    <t>IMMUNODEFICIENCY 15B; 15A</t>
  </si>
  <si>
    <t>IMMUNODEFICIENCY 33</t>
  </si>
  <si>
    <t>EARLY-ONSET, AUTOSOMAL RECESSIVE INFLAMMATORY BOWEL DISEASE 28</t>
  </si>
  <si>
    <t>EARLY-ONSET, AUTOSOMAL RECESSIVE INFLAMMATORY BOWEL DISEASE 25</t>
  </si>
  <si>
    <t>IMMUNODEFICIENCY 56, PRIMARY, AUTOSOMAL RECESSIVE, IL21R-RELATED</t>
  </si>
  <si>
    <t>IMMUNODEFICIENCY 41 WITH LYMPHOPROLIFERATION AND AUTOIMMUNITY</t>
  </si>
  <si>
    <t>IMMUNODEFICIENCY 63 WITH LYMPHOPROLIFERATION AND AUTOIMMUNITY</t>
  </si>
  <si>
    <t>SEVERE COMBINED X-LINKED IMMUNODEFICIENCY</t>
  </si>
  <si>
    <t>SEVERE COMBINED IMMUNODEFICIENCY 104</t>
  </si>
  <si>
    <t>AUTOSOMAL RECESSIVE DEAFNESS 42</t>
  </si>
  <si>
    <t>NEONATAL PERMANENT DIABETES MELLITUS 4</t>
  </si>
  <si>
    <t>IMMUNODEFICIENCY 67</t>
  </si>
  <si>
    <t>32B IMMUNODEFICIENCY, MONOCYTE AND DENDRITIC CELL DEFICIENCY, AUTOSOMAL RECESSIVE</t>
  </si>
  <si>
    <t>NON-GOITROGEN CONGENITAL HYPOTHYROIDISM TYPE 9</t>
  </si>
  <si>
    <t>GLANZMANN'S TROMBASTHENIA 1; PLATELET-TYPE 16 BLEEDING DISORDER, AUTOSOMAL DOMINANT</t>
  </si>
  <si>
    <t>LEUKOCYTE ADHESION DEFICIENCY TYPE I</t>
  </si>
  <si>
    <t>GLANZMANN'S TROMBASTENIA 2; BLEEDING DISORDER, PLATELET TYPE, 16</t>
  </si>
  <si>
    <t>TTI-RELATED LYMPHOPROLIFERATIVE SYNDROME 1</t>
  </si>
  <si>
    <t>ISOVALERIC ACIDEMIA</t>
  </si>
  <si>
    <t>CONGENITAL HYPOTHYROIDISM (FAMILIAL THYROID DYSHORMONOGENESIS 4)</t>
  </si>
  <si>
    <t>JAK3-RELATED SEVERE COMBINED IMMUNODEFICIENCY, T-NEGATIVE/B-POSITIVE TYPE</t>
  </si>
  <si>
    <t>SHORT QT SYNDROME TYPE 1</t>
  </si>
  <si>
    <t>BARTTER SYNDROME TYPE 2</t>
  </si>
  <si>
    <t>SESAME SYNDROME</t>
  </si>
  <si>
    <t>HYPERINSULINEMIC HYPOGLYCEMIA, FAMILIAL 2; TRANSIENT DIABETES MELLITUS 3 AND PERMANENT NEONATAL DIABETES MELLITUS 2 WITH NEUROLOGICAL CHARACTERISTICS; MATURITY-ONSET DIABETES (MODY), TYPE 13</t>
  </si>
  <si>
    <t>SHORT QT SYNDROME 3</t>
  </si>
  <si>
    <t>JERVELL AND LANGE-NIELSEN SYNDROME; ROMANO-WARD SYNDROME LONG QT SYNDROME 1</t>
  </si>
  <si>
    <t>DEVELOPMENTAL AND EPILEPTIC ENCEPHALOPATHY 7</t>
  </si>
  <si>
    <t>PSEUDOHYPOALDOSTERONISM TYPE IID, AUTOSOMAL RECESSIVE</t>
  </si>
  <si>
    <t>NOONAN SYNDROME 3</t>
  </si>
  <si>
    <t>DARON'S DISEASE</t>
  </si>
  <si>
    <t>IMMUNODEFICIENCY 52</t>
  </si>
  <si>
    <t>IMMUNODEFICIENCY 22</t>
  </si>
  <si>
    <t>HETEROZYGOUS FAMILIAL HYPERCHOLESTEROLEMIA 1: HOMOZYGOUS FAMILIAL HYPERCHOLESTEROLEMIA 1</t>
  </si>
  <si>
    <t>HYPERCHOLESTEROLEMIA, FAMILIAL, 4</t>
  </si>
  <si>
    <t>LEPTIN DEFICIENCY OR DYSFUNCTION/MORBID OBESITY DUE TO LEPTIN DEFICIENCY</t>
  </si>
  <si>
    <t>LEPTIN RECEPTOR DEFICIENCY / MORBID OBESITY DUE TO LEPTIN RECEPTOR DEFICIENCY</t>
  </si>
  <si>
    <t>AUTOSOMAL RECESSIVE DEAFNESS 67</t>
  </si>
  <si>
    <t>PITUITARY HORMONE DEFICIENCY, COMBINED, 3</t>
  </si>
  <si>
    <t>PITUITARY HORMONE DEFICIENCY, COMBINED, 4</t>
  </si>
  <si>
    <t>IMMUNODEFICIENCY 96</t>
  </si>
  <si>
    <t>LIG4 SYNDROME</t>
  </si>
  <si>
    <t>WOLMAN'S DISEASE; CHOLESTEROL ESTER STORAGE DISEASE (LYSOSOMAL ACID LIPASE)</t>
  </si>
  <si>
    <t>METHYLMALONIC ACIDEMIA WITH HOMOCYSTINURIA, TYPE CBLF</t>
  </si>
  <si>
    <t>COMBINED LIPASE DEFICIENCY</t>
  </si>
  <si>
    <t>RESTRICTIVE DERMOPATHY 2; MALOUF SYNDROME</t>
  </si>
  <si>
    <t>NONSYNDROMIC, AUTOSOMAL RECESSIVE DEAFNESS 77</t>
  </si>
  <si>
    <t>MYOGLOBINURIA, ACUTE RECURRENT</t>
  </si>
  <si>
    <t>LIPOPROTEIN LIPASE DEFICIENCY</t>
  </si>
  <si>
    <t>OSTEOPOROSIS-PSEUDOGLIOMA SYNDROME</t>
  </si>
  <si>
    <t>AUTOSOMAL RECESSIVE DEAFNESS 63</t>
  </si>
  <si>
    <t>CUTIS LAXA, AUTOSOMAL RECESSIVE, TYPE IC</t>
  </si>
  <si>
    <t>CHEDIAK-HIGASHI SYNDROME</t>
  </si>
  <si>
    <t>NOONAN SYNDROME 2</t>
  </si>
  <si>
    <t>BARTTER SYNDROME, TYPE 5, PRENATAL, TRANSIENT</t>
  </si>
  <si>
    <t>X-LINKED IMMUNODEFICIENCY WITH MAGNESIUM DEFECT, EPSTEIN-BARR VIRUS INFECTION, AND NEOPLASIA (XMEN); CONGENITAL GLYCOSYLATION DISORDER, ICC TYPE</t>
  </si>
  <si>
    <t>MANNOSIDOSIS, ALPHA-, TYPES I AND II, INFANTILE FORM</t>
  </si>
  <si>
    <t>CARDIOFACIOCUTANEOUS SYNDROME 3</t>
  </si>
  <si>
    <t>AUTOSOMAL RECESSIVE DEAFNESS 49</t>
  </si>
  <si>
    <t>GLUCOCORTICOID DEFICIENCY, DUE TO LACK OF RESPONSE TO ACTH</t>
  </si>
  <si>
    <t>METHYLMALONYL-COA EPIMERASE DEFICIENCY</t>
  </si>
  <si>
    <t>CILIARY DYSKINESIA, PRIMARY 42</t>
  </si>
  <si>
    <t>IMMUNODEFICIENCY 54</t>
  </si>
  <si>
    <t>WAARDENBURG SYNDROME, TYPE 2A</t>
  </si>
  <si>
    <t>MALONYL-COA DECARBOXYLASE DEFICIENCY</t>
  </si>
  <si>
    <t>METHYLMALONIC ACIDEMIA WITHOUT HOMOCYSTINURIA, CBLA TYPE</t>
  </si>
  <si>
    <t>METHYLMALONIC ACIDEMIA WITHOUT HOMOCYSTINURIA, CBLB TYPE</t>
  </si>
  <si>
    <t>METHYLMALONIC ACIDEMIA WITH HOMOCYSTINURIA, CBLC TYPE</t>
  </si>
  <si>
    <t>METHYLMALONIC ACIDEMIA WITH AND WITHOUT HOMOCYSTINURIA, CBLD TYPE; HOMOCYSTINURIA-MEGALOBLASTIC ANEMIA TYPE CBLD</t>
  </si>
  <si>
    <t>METHYLMALONIC ACIDEMIA WITHOUT HOMOCYSTINURIA, MUT(0) TYPE</t>
  </si>
  <si>
    <t>MOLYBDENUM COFACTOR A DEFICIENCY</t>
  </si>
  <si>
    <t>CONGENITAL GLYCOSYLATION DISORDER, TYPE IB</t>
  </si>
  <si>
    <t>FAMILIAL GLUCOCORTICOID DEFICIENCY TYPE 2, RELATED TO MRAP</t>
  </si>
  <si>
    <t>IMMUNODEFICIENCY, COMMON VARIABLE, 5 </t>
  </si>
  <si>
    <t>NONSYNDROMIC, AUTOSOMAL RECESSIVE DEAFNESS 74</t>
  </si>
  <si>
    <t>COMBINED IMMUNODEFICIENCY AND MEGALOBLASTIC ANEMIA WITH OR WITHOUT HYPERHOMOCYSTEINEMIA</t>
  </si>
  <si>
    <t>MTHFR DEFICIENCY HOMOCYSTINURIA</t>
  </si>
  <si>
    <t>HOMOCYSTINURIA-MEGALOBLASTIC ANEMIA TYPE CBLG SUPPLEMENTATION</t>
  </si>
  <si>
    <t>HOMOCYSTINURIA-MEGALOBLASTIC ANEMIA, CBL E TYPE</t>
  </si>
  <si>
    <t>CONGENITAL MYASTHENIC SYNDROME TYPE 9, ASSOCIATED WITH ACETYLCHOLINE RECEPTOR DEFICIENCY</t>
  </si>
  <si>
    <t>LEFT VENTRICULAR NONCOMPACTION 10; DILATED CARDIOMYOPATHY, 1 MM</t>
  </si>
  <si>
    <t>IMMUNODEFICIENCY 68</t>
  </si>
  <si>
    <t>HYPERTROPHIC CARDIOMYOPATHY, 1</t>
  </si>
  <si>
    <t>NON-SYNDROMIC, AUTOSOMAL RECESSIVE DEAFNESS 3</t>
  </si>
  <si>
    <t>NON-SYNDROMIC DEAFNESS, RECESSIVE 37</t>
  </si>
  <si>
    <t>USHER SYNDROME, TYPE 1B; NONSYNDROMIC, AUTOSOMAL RECESSIVE DEAFNESS, 2</t>
  </si>
  <si>
    <t>N-ACETYLGLUTAMATE SYNTHASE DEFICIENCY (NAGSD)</t>
  </si>
  <si>
    <t>GRAY PLATELET SYNDROME</t>
  </si>
  <si>
    <t>NIJMEGEN SYNDROME</t>
  </si>
  <si>
    <t>CHRONIC GRANULOMATOUS DISEASE TYPE 2</t>
  </si>
  <si>
    <t>CHRONIC GRANULOMATOUS DISEASE TYPE 3</t>
  </si>
  <si>
    <t>DIARRHEA 4, MALABSORSORTIVE, CONGENITAL</t>
  </si>
  <si>
    <t>IMMUNODEFICIENCY, COMMON VARIABLE, 10</t>
  </si>
  <si>
    <t>ECTODERMAL DYSPLASIA AND IMMUNODEFICIENCY 2</t>
  </si>
  <si>
    <t>IMMUNODEFICIENCY 124 COMBINED WITH SEVERE MICROCEPHALY, GROWTH RETARDATION AND SENSITIVITY TO IONIZING RADIATION</t>
  </si>
  <si>
    <t>CHOREOATHETOSIS AND CONGENITAL HYPOTHYROIDISM WITH OR WITHOUT PULMONARY DYSFUNCTION</t>
  </si>
  <si>
    <t>NON-GOITROGEN CONGENITAL HYPOTHYROIDISM TYPE 5</t>
  </si>
  <si>
    <t>MUCKLE-WELLS SYNDROME; CINCA SYNDROME; FAMILIAL COLD-INDUCED INFLAMMATORY SYNDROME 1</t>
  </si>
  <si>
    <t>GLUCOCORTICOID TYPE 4 DEFICIENCY, WITH OR WITHOUT MINERALOCORTICOID DEFICIENCY</t>
  </si>
  <si>
    <t>VISCERAL HETEROTAXY 5</t>
  </si>
  <si>
    <t>NIEMANN-PICK DISEASE, C1/D (LYSOSOMAL DISEASE)</t>
  </si>
  <si>
    <t>NIEMANN-PICK DISEASE, C2 (LYSOSOMAL)</t>
  </si>
  <si>
    <t>CONGENITAL ADRENAL HYPOPLASIA</t>
  </si>
  <si>
    <t>PSEUDOHYPOALDOSTERONISM TYPE I, AUTOSOMAL DOMINANT</t>
  </si>
  <si>
    <t>NOONAN SYNDROME 6</t>
  </si>
  <si>
    <t>IMMUNODEFICIENCY 100 WITH PULMONARY ALVEOLAR PROTEINOSIS AND HYPOGAMMAGLOBULINEMIA (POLYMORPHIC AUTOINFLAMMATORY IMMUNODEFICIENCY)</t>
  </si>
  <si>
    <t>GYRATIC ATROPHY OF THE CHOROID AND RETINA WITH OR WITHOUT ORNITHINEMIA</t>
  </si>
  <si>
    <t>CILIARY DYSKINESIA, PRIMARY, 20</t>
  </si>
  <si>
    <t>CILIARY DYSKINESIA, PRIMARY, 23</t>
  </si>
  <si>
    <t>CILIARY DYSKINESIA, PRIMARY, 30</t>
  </si>
  <si>
    <t>CILIARY DYSKINESIA, PRIMARY, 35</t>
  </si>
  <si>
    <t>JOUBERT SYNDROME 10</t>
  </si>
  <si>
    <t>ORNITHINE TRANSCARBAMYLASE DEFICIENCY</t>
  </si>
  <si>
    <t>NON-SYNDROMIC, AUTOSOMAL RECESSIVE DEAFNESS 22</t>
  </si>
  <si>
    <t>NON-SYNDROMIC, AUTOSOMAL RECESSIVE DEAFNESS 9</t>
  </si>
  <si>
    <t>NON-SYNDROMIC, AUTOSOMAL RECESSIVE DEAFNESS 18B</t>
  </si>
  <si>
    <t>NONSYNDROMIC, AUTOSOMAL RECESSIVE DEAFNESS 84B</t>
  </si>
  <si>
    <t>COMBINED PITUITARY HORMONE DEFICIENCY TYPE 6</t>
  </si>
  <si>
    <t>PHENYLKETONURIA (PKU); HYPERPHENYLALANINEMIA (HPA)</t>
  </si>
  <si>
    <t>OTOPHACIOCERVICAL SYNDROME 2</t>
  </si>
  <si>
    <t>WAARDENBURG SYNDROME, TYPE 1</t>
  </si>
  <si>
    <t>CONGENITAL AND DIFFERENTIAL CF/DIC HYPOTHYROIDISM</t>
  </si>
  <si>
    <t>HYPERPHENYLALANINEMIA, BH4, D DEFICIENCY</t>
  </si>
  <si>
    <t>PROPIONIC ACIDEMIA 1</t>
  </si>
  <si>
    <t>PROPIONIC ACIDEMIA 2</t>
  </si>
  <si>
    <t>USHER SYNDROME, TYPE 1F; NONSYNDROMIC, AUTOSOMAL RECESSIVE DEAFNESS 23</t>
  </si>
  <si>
    <t>PANCREATIC AGENESIS 1 / DIABETES MELLITUS</t>
  </si>
  <si>
    <t>HEREDITARY MOTOR AND SENSORY NEUROPATHY, VIC TYPE, WITH OPTIC ATROPHY.</t>
  </si>
  <si>
    <t>AUTOSOMAL RECESSIVE DEAFNESS 57; USHER SYNDROME, TYPE 2C, GPR98/PDZD7 DIGENIC</t>
  </si>
  <si>
    <t>CONGENITAL GLYCOSYLATION DISORDER, TYPE IT</t>
  </si>
  <si>
    <t>IMMUNODEFICIENCY 23</t>
  </si>
  <si>
    <t>HYPOPHOSPHATEMIC RICKETS, LINKED TO DOMINANT X</t>
  </si>
  <si>
    <t>PHOSPHOGLYCERATE DEHYDROGENASE DEFICIENCY</t>
  </si>
  <si>
    <t>GLYCOGEN STORAGE DISEASE, TYPE IXA1/IXA2</t>
  </si>
  <si>
    <t>GLYCOGEN STORAGE DISEASE, TYPE IXB</t>
  </si>
  <si>
    <t>GLYCOGEN STORAGE DISEASE IXC (GSD9C); HEPATIC PHOSPHORYLASE KINASE DEFICIENCY</t>
  </si>
  <si>
    <t>REFSUM'S DISEASE</t>
  </si>
  <si>
    <t>DOMINANT 14A IMMUNODEFICIENCY; RECESSIVE 14B IMMUNODEFICIENCY</t>
  </si>
  <si>
    <t>AGAMMAGLOBULINAEMIA 7; IMMUNODEFICIENCY 36; SHORT SYNDROME</t>
  </si>
  <si>
    <t>AUTOSOMAL RECESSIVE DEAFNESS 59</t>
  </si>
  <si>
    <t>PYRUVATE KINASE DEFICIENCY</t>
  </si>
  <si>
    <t>AUTOINFLAMMATION AND PLCG2-ASSOCIATED ANTIBODY DEFICIENCY AND IMMUNE DYSREGULATION (APLAID)</t>
  </si>
  <si>
    <t>EPILEPSY, EARLY-ONSET, VITAMIN B6-DEPENDENT</t>
  </si>
  <si>
    <t>BONE MINERAL DENSITY TRAIT QUANTIFICATION LOCUS 18, OSTEOPOROSIS</t>
  </si>
  <si>
    <t>CONGENITAL GLYCOSYLATION DISORDER TYPE IA (PMM2-CDG)</t>
  </si>
  <si>
    <t>PURINE PHOSPHORYLASE NUCLEOSIDE DEFICIENCY IMMUNODEFICIENCY</t>
  </si>
  <si>
    <t>PYRIDOXAMINE 5'-PHOSPHATE OXIDASE DEFICIENCY</t>
  </si>
  <si>
    <t>XERODERMA PIGMENTOSUM, VARIANT TYPE</t>
  </si>
  <si>
    <t>TREACHER COLLINS SYNDROME 2</t>
  </si>
  <si>
    <t>OBESITY, ADRENAL INSUFFICIENCY, AND RED HAIR DUE TO POMC DEFICIENCY</t>
  </si>
  <si>
    <t>DISORDERED STEROIDOGENESIS DUE TO CYTOCHROME P450 OXIDOREDUCTASE DEFICIENCY</t>
  </si>
  <si>
    <t>COMBINED OR ISOLATED PITUITARY HORMONE DEFICIENCY TYPE 1, AUTOSOMAL DOMINANT</t>
  </si>
  <si>
    <t>MAPLE SYRUP URINE DISEASE, MILD VARIANT</t>
  </si>
  <si>
    <t>HOMOZYGOUS VARIEGATED PORPHYRIA OF INFANTILE ONSET</t>
  </si>
  <si>
    <t>CONGENITAL MYASTHENIC SYNDROME TYPE 22</t>
  </si>
  <si>
    <t>FAMILIAL HEMOPHAGOCYTIC LYMPHOHISTIOCYTOSIS, TYPE 2</t>
  </si>
  <si>
    <t>CARNEY COMPLEX, TYPE 1</t>
  </si>
  <si>
    <t>IMMUNODEFICIENCY 26, WITH OR WITHOUT NEUROLOGICAL ABNORMALITIES</t>
  </si>
  <si>
    <t>CONGENITAL HYPOTHYROIDISM 2, OTHER, (RA) COMBINED WITH PITUITARY HORMONE DEFICIENCY</t>
  </si>
  <si>
    <t>S-PROTEIN DEFICIENCY THROMBOPHILIA, AUTOSOMAL RECESSIVE</t>
  </si>
  <si>
    <t>NON-SYNDROMIC DEAFNESS, X-LINKED 1</t>
  </si>
  <si>
    <t>PHOSPHOSERINE AMINOTRANSFERASE DEFICIENCY</t>
  </si>
  <si>
    <t>AUTOINFLAMMATORY SYNDROME WITH CYTOPENIA, HYPERCINCEMIA AND HYPERCALPROTECTINEMIA; STERILE PYOGENIC ARTHRITIS, PYODERMA GANGRENOSUM, AND ACNE (PAPA SYNDROME)</t>
  </si>
  <si>
    <t>PANCREATIC AGENESIS 2</t>
  </si>
  <si>
    <t>NOONAN 1 SYNDROME WITH MULTIPLE LENTIGINES</t>
  </si>
  <si>
    <t>IMMUNODEFICIENCY 105</t>
  </si>
  <si>
    <t>NON-SYNDROMIC, AUTOSOMAL RECESSIVE DEAFNESS 84A</t>
  </si>
  <si>
    <t>HYPERPHENYLALANINEMIA, BH4 DEFICIENCY, A</t>
  </si>
  <si>
    <t>GLYCOGEN STORAGE DISEASE VI</t>
  </si>
  <si>
    <t>GLYCOGEN STORAGE DISEASE V (MCARDLE DISEASE)</t>
  </si>
  <si>
    <t>HYPERPHENYLALANINEMIA, BH4, C DEFICIENCY</t>
  </si>
  <si>
    <t>CARPENTER SYNDROME</t>
  </si>
  <si>
    <t>GRISCELLI SYNDROME, TYPE 2</t>
  </si>
  <si>
    <t>IMMUNODEFICIENCY 73 WITH DEFECTIVE NEUTROPHIL CHEMOTAXIS AND LEUKOCYTOSIS/LYMPHOPENIA (A, B, C)</t>
  </si>
  <si>
    <t>NOONAN SYNDROME 5</t>
  </si>
  <si>
    <t>SEVERE COMBINED IMMUNODEFICIENCY, B-CELLS NEGATIVE</t>
  </si>
  <si>
    <t>SEVERE COMBINED IMMUNODEFICIENCY, NEGATIVE B LYMPHOCYTES; CELLULAR AND HUMORAL IMMUNE DEFECTS COMBINED WITH GRANULOMAS; OMENN SYNDROME</t>
  </si>
  <si>
    <t>CONGENITAL MYASTHENIC SYNDROME TYPE 11, ASSOCIATED WITH ACETYLCHOLINE RECEPTOR DEFICIENCY</t>
  </si>
  <si>
    <t>IMMUNODEFICIENCY 64</t>
  </si>
  <si>
    <t>NON-SYNDROMIC, AUTOSOMAL RECESSIVE DEAFNESS 24</t>
  </si>
  <si>
    <t>NAKED LYMPHOCYTE SYNDROME, TYPE II, COMPLEMENTATION GROUP C – MHC DEFICIENCY CLASS II 3</t>
  </si>
  <si>
    <t>NAKED LYMPHOCYTE SYNDROME, TYPE II, COMPLEMENTATION GROUP B – MHC DEFICIENCY CLASS II 2</t>
  </si>
  <si>
    <t>NAKED LYMPHOCYTE SYNDROME, TYPE II, COMPLEMENTATION GROUP D – MHC DEFICIENCY CLASS II 4</t>
  </si>
  <si>
    <t>NOONAN SYNDROME 8</t>
  </si>
  <si>
    <t>ANAUXETIC DYSPLASIA 1; CARTILAGE-HAIR HYPOPLASIA; METAPHYSEAL DYSPLASIA WITHOUT HYPOTRICHOSIS</t>
  </si>
  <si>
    <t>AICARDI-GOUTIERES SYNDROME 4</t>
  </si>
  <si>
    <t>AICARDI-GOUTIERES SYNDROME 2</t>
  </si>
  <si>
    <t>AICARDI-GOUTIERES SYNDROME 3</t>
  </si>
  <si>
    <t>PITUITARY HORMONE DEFICIENCY, COMBINED OR ISOLATED, 7</t>
  </si>
  <si>
    <t>CONGENITAL LEBER AMAUROSIS TYPE 2; RETINITIS PIGMENTOSA 20</t>
  </si>
  <si>
    <t>DIAMOND BLACKFAN ANEMIA 7</t>
  </si>
  <si>
    <t>DIAMOND-BLACKFAN ANEMIA 12</t>
  </si>
  <si>
    <t>DIAMOND-BLACKFAN ANEMIA 11</t>
  </si>
  <si>
    <t>DIAMOND-BLACKFAN ANEMIA 16</t>
  </si>
  <si>
    <t>DIAMOND BLACKFAN ANEMIA 5</t>
  </si>
  <si>
    <t>DIAMOND BLACKFAN ANEMIA 6</t>
  </si>
  <si>
    <t>DIAMOND BLACKFAN ANEMIA 9</t>
  </si>
  <si>
    <t>DIAMOND BLACKFAN ANEMIA 4</t>
  </si>
  <si>
    <t>DIAMOND BLACKFAN ANEMIA 1</t>
  </si>
  <si>
    <t>DIAMOND BLACKFAN ANEMIA 3</t>
  </si>
  <si>
    <t>DIAMOND BLACKFAN ANEMIA 10</t>
  </si>
  <si>
    <t>DIAMOND-BLACKFAN ANEMIA 17</t>
  </si>
  <si>
    <t>DIAMOND BLACKFAN ANEMIA 13</t>
  </si>
  <si>
    <t>DIAMOND BLACKFAN ANEMIA 8</t>
  </si>
  <si>
    <t>NOONAN SYNDROME 12</t>
  </si>
  <si>
    <t>CILIARY DYSKINESIA, PRIMARY, 24</t>
  </si>
  <si>
    <t>CILIARY DYSKINESIA, PRIMARY, 32</t>
  </si>
  <si>
    <t>CILIARY DYSKINESIA, PRIMARY, 11</t>
  </si>
  <si>
    <t>CILIARY DYSKINESIA, PRIMARY, 12</t>
  </si>
  <si>
    <t>SUSCEPTIBILITY TO MALIGNANT HYPERTHERMIA 1</t>
  </si>
  <si>
    <t>CATECHOLAMINERGIC POLYMORPHIC VENTRICULAR TACHYCARDIA 1</t>
  </si>
  <si>
    <t>NON-SYNDROMIC, AUTOSOMAL RECESSIVE DEAFNESS 68</t>
  </si>
  <si>
    <t>AICARDI-GOUTIERES SYNDROME 5</t>
  </si>
  <si>
    <t>CHYLOMICRON RETENTION DISEASE</t>
  </si>
  <si>
    <t>SHWACHMAN-DIAMOND SYNDROME</t>
  </si>
  <si>
    <t>CONGENITAL MYASTHENIC SYNDROME, TYPE 16; HYPERKALEMIC PERIODIC PARALYSIS, TYPE 2</t>
  </si>
  <si>
    <t>BRUGADA SYNDROME 1; LONG QT SYNDROME, TYPES 1, 2, AND 3</t>
  </si>
  <si>
    <t>PSEUDOHYPOALDOSTERONISM, TYPE IB1; BRONCHIECTASIS WITH OR WITHOUT ELEVATED CHLORIDE IN SWEAT 2</t>
  </si>
  <si>
    <t>PSEUDOHYPOALDOSTERONISM, TYPE IB2</t>
  </si>
  <si>
    <t>PSEUDOHYPOALDOSTERONISM, TYPE IB3</t>
  </si>
  <si>
    <t>THYROID HORMONE METABOLISM, ABNORMAL, 1</t>
  </si>
  <si>
    <t>HEREDITARY ANGIOEDEMA TYPE 1, AUTOSOMAL DOMINANT</t>
  </si>
  <si>
    <t>DYSFUNCTION OF SURFACTANT METABOLISM, PULMONARY, 2</t>
  </si>
  <si>
    <t>NEPHROTIC SYNDROME TYPE 14 – RENI SYNDROME</t>
  </si>
  <si>
    <t>X-LINKED LYMPHOPROLIFERATIVE SYNDROME, IMMUNE DYSREGULATION 1</t>
  </si>
  <si>
    <t>SIMILAR NOONAN SYNDROME WITH LOOSE ANAGEN HAIR 1</t>
  </si>
  <si>
    <t>CONGENITAL SUCRASE-ISOMALTASE DEFICIENCY</t>
  </si>
  <si>
    <t>GILL-OTO-RENAL RELATED DISORDERS</t>
  </si>
  <si>
    <t>BARTTER SYNDROME TYPE I</t>
  </si>
  <si>
    <t>MONOCARBOXYLATE TRANSPORTER DEFICIENCY 1</t>
  </si>
  <si>
    <t>NONSYNDROMIC, AUTOSOMAL DOMINANT DEAFNESS 25</t>
  </si>
  <si>
    <t>CONGENITAL MYASTHENIC SYNDROME TYPE 21, PRRESINAPTIC</t>
  </si>
  <si>
    <t>FOLATE-DEPENDENT MEGALOBLASTIC ANEMIA; IMMUNODEFICIENCY 114, FOLATE SENSITIVE</t>
  </si>
  <si>
    <t>THIAMINE-SENSITIVE MEGALOBLASTIC ANEMIA SYNDROME</t>
  </si>
  <si>
    <t>THIAMINE 2 METABOLISM DYSFUNCTION SYNDROME (BIOTIN OR THIAMINE-SENSITIVE TYPE 2 ENCEPHALOPATHY)</t>
  </si>
  <si>
    <t>PRIMARY SYSTEMIC CARNITINE DEFICIENCY (CDSP)</t>
  </si>
  <si>
    <t>CONGENITAL MYASTHENIC SYNDROME TYPE 23, PRRESINAPTIC</t>
  </si>
  <si>
    <t>TYPE II CITRULLINEMIA, NEONATAL-ONSET</t>
  </si>
  <si>
    <t>HYPERORNITHINEMIA-HYPERAMMONEMIA-HOMOCITRULLINEMIA (HHH) SYNDROME</t>
  </si>
  <si>
    <t>THIAMINE 4 METABOLISM DYSFUNCTION SYNDROME (PROGRESSIVE POLYNEUROPATHY TYPE)</t>
  </si>
  <si>
    <t>CARNITINE-ACYLCARNITINE TRANSLOCASE DEFICIENCY</t>
  </si>
  <si>
    <t>EXERCISE INTOLERANCE, RIBOFLAVIN SENSITIVE</t>
  </si>
  <si>
    <t>ANEMIA, SIDEROBLASTIC, 2, REFRACTORY TO PYRIDOXINE</t>
  </si>
  <si>
    <t>DIARRHEA 1, CHLORIDE-SECRETING, CONGENITAL</t>
  </si>
  <si>
    <t>PENDRED SYNDROME</t>
  </si>
  <si>
    <t>DYSTONIA 9, GLUT1 DEFICIENCY SYNDROMES 1</t>
  </si>
  <si>
    <t>ARTERIAL TORTUOSITY SYNDROME</t>
  </si>
  <si>
    <t>FANCONI-BICKEL SYNDROME</t>
  </si>
  <si>
    <t>HYPERMANGANESEMIA WITH DYSTONIA TYPE 1</t>
  </si>
  <si>
    <t>HYPOPHOSPHATEMIC RICKETS WITH HYPERCALCIURIA</t>
  </si>
  <si>
    <t>GLYCOGEN STORAGE DISEASE IB; GLYCOGEN STORAGE DISEASE (IC)</t>
  </si>
  <si>
    <t>ACRODERMATITIS ENTEROPATHICA, ZINC DEFICIENCY TYPE</t>
  </si>
  <si>
    <t>AGAMMAGLOBULINEMIA 9, AUTOSOMAL RECESSIVE</t>
  </si>
  <si>
    <t>CONGENITAL GLYCOSYLATION DISORDER, TYPE IIN</t>
  </si>
  <si>
    <t>CYSTINURIA</t>
  </si>
  <si>
    <t>FOLATE MALABSORPTION, HEREDITARY</t>
  </si>
  <si>
    <t>DISTAL RENAL TUBULAR ACIDOSIS TYPE 4 WITH HEMOLYTIC, AUTOSOMAL RECESSIVE, DOMINANT ANEMIA</t>
  </si>
  <si>
    <t>RIBOFLAVIN DEFICIENCY</t>
  </si>
  <si>
    <t>BROWN-VIALETTO-VAN LAERE SYNDROME 2</t>
  </si>
  <si>
    <t>BROWN-VIALETTO-VAN LAERE SYNDROME 1</t>
  </si>
  <si>
    <t>GLUCOSE/GALACTOSE MALABSORPTION</t>
  </si>
  <si>
    <t>CONGENITAL HYPOTHYROIDISM (FAMILIAL THYROID DYSHORMONOGENESIS 1)</t>
  </si>
  <si>
    <t>SODIUM-DEPENDENT MULTIVITAMIN TRANSPORTER DEFICIENCY; PERIPHERAL MOTOR NEUROPATHY, CHILDHOOD-ONSET, SENSITIVE TO BIOTIN.</t>
  </si>
  <si>
    <t>CONGENITAL MYASTHENIC SYNDROME-20</t>
  </si>
  <si>
    <t>HYPEREKPLEXIA 3</t>
  </si>
  <si>
    <t>HYPOTAURINE RETINAL DEGENERATION AND CARDIOMYOPATHY</t>
  </si>
  <si>
    <t>CEREBRAL CREATINE DEFICIENCY SYNDROME 1 (CCDS1)</t>
  </si>
  <si>
    <t>INTOLERANCE TO LYSINOURIC PROTEIN</t>
  </si>
  <si>
    <t>DIARRHEA 8, SODIUM-SECRETING, CONGENITAL</t>
  </si>
  <si>
    <t>DEAFNESS AND MYOPIA</t>
  </si>
  <si>
    <t>FANCONI ANEMIA, SUPPLEMENTATION GROUP P</t>
  </si>
  <si>
    <t>SPECIFIC GRANULE DEFICIENCY TYPE 2</t>
  </si>
  <si>
    <t>SPINAL MUSCULAR ATROPHY TYPE 1, 2, 3, AND 4</t>
  </si>
  <si>
    <t>NIEMANN-PICK DISEASE, TYPE A AND B</t>
  </si>
  <si>
    <t>MYASTHENIC SYNDROME, CONGENITAL, 18</t>
  </si>
  <si>
    <t>OSTEOPETROSIS TYPE 8</t>
  </si>
  <si>
    <t>NOONAN SYNDROME 4</t>
  </si>
  <si>
    <t>PCWH SYNDROME; WAARDENBURG SYNDROME, TYPE 4C; WAARDENBURG SYNDROME, TYPE 4C AND TYPE 2E</t>
  </si>
  <si>
    <t>X-LINKED PANHYPOPITUITARISM</t>
  </si>
  <si>
    <t>HEPATIC VENO-OCCLUSIVE DISEASE WITH IMMUNODEFICIENCY</t>
  </si>
  <si>
    <t>CILIARY DYSKINESIA, PRIMARY, 28</t>
  </si>
  <si>
    <t>DIARRHEA 3, SODIUM-SECRETING, CONGENITAL, SYNDROMIC</t>
  </si>
  <si>
    <t>DYSTONIA, SENSITIVE TO DOPA, DUE TO SEPIAPTERIN REDUCTASE DEFICIENCY</t>
  </si>
  <si>
    <t>SRP54-RELATED SHWACHMAN-DIAMOND SYNDROME – SEVERE CONGENITAL NEUTROPENIA TYPE 8, AUTOSOMAL DOMINANT</t>
  </si>
  <si>
    <t>31B IMMUNODEFICIENCY, SUSCEPTIBILITY TO MYCOBACTERIAL AND VIRAL INFECTIONS, AUTOSOMAL RECESSIVE</t>
  </si>
  <si>
    <t>ATOPIC AND EOSINOPHILIC DISEASE, HYPER‐IGE RECURRENT INFECTION SYNDROME</t>
  </si>
  <si>
    <t>IMMUNODEFICIENCY 10</t>
  </si>
  <si>
    <t>STK4-ASSOCIATED T-CELL IMMUNODEFICIENCY, WITH RECURRENT INFECTIONS, AUTOIMMUNITY, AND CARDIAC MALFORMATIONS</t>
  </si>
  <si>
    <t>AUTOSOMAL RECESSIVE DEAFNESS 16</t>
  </si>
  <si>
    <t>FAMILIAL HEMOPHAGOCYTIC LYMPHOHISTIOCYTOSIS-4</t>
  </si>
  <si>
    <t>HEMOPHAGOCYTIC LYMPHOHISTIOCYTOSIS, FAMILIAL, 5, WITH OR WITHOUT MICROVILLUS INCLUSION DISEASE</t>
  </si>
  <si>
    <t>GLUTARIC ACIDURIA III (GA3)</t>
  </si>
  <si>
    <t>NON-SYNDROMIC, AUTOSOMAL RECESSIVE DEAFNESS 76</t>
  </si>
  <si>
    <t>CONGENITAL MYASTHENIC SYNDROME 7B, PRESYNAPTIC, AUTOSOMAL RECESSIVE</t>
  </si>
  <si>
    <t>TYROSINEMIA TYPE II</t>
  </si>
  <si>
    <t>NONSYNDROMIC, AUTOSOMAL RECESSIVE DEAFNESS 86</t>
  </si>
  <si>
    <t>NON-GOITROGEN CONGENITAL HYPOTHYROIDISM TYPE 8</t>
  </si>
  <si>
    <t>DIGEORGE SYNDROME</t>
  </si>
  <si>
    <t>ADRENOCORTICOTROPIC HORMONE DEFICIENCY</t>
  </si>
  <si>
    <t>AGAMMAGLOBULINEMIA 8B, AUTOSOMAL RECESSIVE AND DOMINANT</t>
  </si>
  <si>
    <t>OSTEOPETROSIS TYPE 1</t>
  </si>
  <si>
    <t>TRANSCOBALAMIN II DEFICIENCY</t>
  </si>
  <si>
    <t>TREACHER COLLINS SYNDROME 1</t>
  </si>
  <si>
    <t>CATECHOLAMINERGIC POLYMORPHIC VENTRICULAR TACHYCARDIA 3</t>
  </si>
  <si>
    <t>NON-SYNDROMIC, AUTOSOMAL DOMINANT 8/12 (DFNA12) AND AUTOSOMAL RECESSIVE 21 (DFNB21) DEAFNESS</t>
  </si>
  <si>
    <t>DYSKERATOSIS CONGENITA, AUTOSOMAL DOMINANT 1; PULMONARY FIBROSIS</t>
  </si>
  <si>
    <t>CONGENITAL HYPOTHYROIDISM (FAMILIAL THYROID DYSHORMONOGENESIS 3)</t>
  </si>
  <si>
    <t>SEGAWA'S SYNDROME</t>
  </si>
  <si>
    <t>THYROID HORMONE RESISTANCE, AUTOSOMAL RECESSIVE; SELECTIVE PITUITARY RESISTANCE TO THYROID HORMONE, AUTOSOMAL DOMINANT; GENERALIZED THYROID HORMONE RESISTANCE, AUTOSOMAL DOMINANT</t>
  </si>
  <si>
    <t>DYSKERATOSIS CONGENITA, AUTOSOMAL 3; REVESZ SYNDROME</t>
  </si>
  <si>
    <t>NONSYNDROMIC, AUTOSOMAL RECESSIVE DEAFNESS 6 (DFNB6)</t>
  </si>
  <si>
    <t>NON-SYNDROMIC, AUTOSOMAL RECESSIVE DEAFNESS 8/10</t>
  </si>
  <si>
    <t>OSTEOPETROSIS TYPE 7</t>
  </si>
  <si>
    <t>CARDIOMYOPATHY (HYPERTROPHIC 13); CARDIOMYOPATHY (DILATED 1Z)</t>
  </si>
  <si>
    <t>CARDIOMYOPATHY (FAMILIAL HYPERTROPHIC 2, DILATED 1D)</t>
  </si>
  <si>
    <t>THIAMINE 5 METABOLISM DYSFUNCTION SYNDROME (EPISODIC ENCEPHALOPATHY TYPE)</t>
  </si>
  <si>
    <t>THYROID DYSHORMONOGENESIS 2A</t>
  </si>
  <si>
    <t>CEROID LIPOFUSCINOSIS, NEURONAL, 2 (CLN2)</t>
  </si>
  <si>
    <t>NONSYNDROMIC, AUTOSOMAL RECESSIVE DEAFNESS 79 (DFNB79)</t>
  </si>
  <si>
    <t>CARDIAC ARRHYTHMIA SYNDROME, WITH OR WITHOUT SKELETAL MUSCLE WEAKNESS (CARDING)</t>
  </si>
  <si>
    <t>HYPOTHYROIDISM, CONGENITAL, WITHOUT GOITER, 7</t>
  </si>
  <si>
    <t>NONSYNDROMIC, AUTOSOMAL RECESSIVE DEAFNESS 28 (DFNB28)</t>
  </si>
  <si>
    <t>TRANSIENT HEPATIC FAILURE IN CHILDREN</t>
  </si>
  <si>
    <t>HYPOMAGNESEMIA 1, INTESTINAL</t>
  </si>
  <si>
    <t>THYROID HORMONE METABOLISM, ABNORMAL, 3</t>
  </si>
  <si>
    <t>TUBEROUS SCLEROSIS COMPLEX 1 (TSC1)</t>
  </si>
  <si>
    <t>TUBEROUS SCLEROSIS-2 (TSC2)</t>
  </si>
  <si>
    <t>CONGENITAL HYPOTHYROIDISM 4</t>
  </si>
  <si>
    <t>CONGENITAL HYPOTHYROIDISM 1</t>
  </si>
  <si>
    <t>NON-SYNDROMIC, AUTOSOMAL RECESSIVE DEAFNESS 98</t>
  </si>
  <si>
    <t>GASTROINTESTINAL DEFECTS AND IMMUNODEFICIENCY SYNDROME</t>
  </si>
  <si>
    <t>ATAXIA WITH ISOLATED VITAMIN E DEFICIENCY</t>
  </si>
  <si>
    <t>FANCONI ANEMIA, T COMPLEMENTATION GROUP</t>
  </si>
  <si>
    <t>CRIGLER-NAJJAR SYNDROME, TYPE I/II</t>
  </si>
  <si>
    <t>OROTIC ACIDURIA</t>
  </si>
  <si>
    <t>HEMOPHAGOCYTIC LYMPHOHISTIOCYTOSIS, FAMILIAL, 3</t>
  </si>
  <si>
    <t>IMMUNODEFICIENCY WITH HYPER IGM, TYPE 5</t>
  </si>
  <si>
    <t>PORPHYRIA CUTANEA TARDA</t>
  </si>
  <si>
    <t>CONGENITAL ERYTHROPOIETIC PORPHYRIA</t>
  </si>
  <si>
    <t>USHER SYNDROME, TYPE 1C; NON-SYNDROMIC, AUTOSOMAL RECESSIVE DEAFNESS 18A</t>
  </si>
  <si>
    <t>USHER SYNDROME, TYPE 1G</t>
  </si>
  <si>
    <t>USHER SYNDROME, TYPE 2A</t>
  </si>
  <si>
    <t>CONGENITAL MYASTHENIC SYNDROME TYPE 25</t>
  </si>
  <si>
    <t>RICKETS RESISTANT TO VITAMIN D TYPE IIA</t>
  </si>
  <si>
    <t>VON WILLEBRAND DISEASE, TYPE 3</t>
  </si>
  <si>
    <t>NEUTROPENIA, TROMBOCYTOPENIA</t>
  </si>
  <si>
    <t>WOLFRAM SYNDROME</t>
  </si>
  <si>
    <t>USHER SYNDROME, 2D TYPE</t>
  </si>
  <si>
    <t>X-LINKED LYMPHOPROLIFERATIVE SYNDROME, IMMUNE DYSREGULATION 2</t>
  </si>
  <si>
    <t>IMMUNODEFICIENCY 48</t>
  </si>
  <si>
    <t>IMMUNODEFICIENCY SYNDROME-CENTROMERIC INSTABILITY-FACIAL ABNORMALITIES 2</t>
  </si>
  <si>
    <t>CILIARY DYSKINESIA, PRIMARY, 22</t>
  </si>
  <si>
    <t>CATECHOLAMINERGIC POLYMORPHIC VENTRICULAR TACHYCARDIA 6_x000D_
LONG QT SYNDROME 16 (LQT16)</t>
  </si>
  <si>
    <t>DISORDER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</si>
</sst>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i/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E994"/>
        <bgColor rgb="FFFFF2CC"/>
      </patternFill>
    </fill>
    <fill>
      <patternFill patternType="solid">
        <fgColor rgb="FFDDDDDD"/>
        <bgColor rgb="FFDBDBDB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BE5D6"/>
      </patternFill>
    </fill>
    <fill>
      <patternFill patternType="solid">
        <fgColor theme="6" tint="0.59987182226020086"/>
        <bgColor rgb="FFDDDDDD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 applyBorder="0" applyProtection="0"/>
    <xf numFmtId="0" fontId="8" fillId="0" borderId="0"/>
    <xf numFmtId="0" fontId="8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49" fontId="0" fillId="5" borderId="5" xfId="0" applyNumberFormat="1" applyFill="1" applyBorder="1" applyAlignment="1">
      <alignment horizontal="left" vertical="center"/>
    </xf>
    <xf numFmtId="0" fontId="0" fillId="0" borderId="3" xfId="0" applyBorder="1"/>
    <xf numFmtId="49" fontId="1" fillId="0" borderId="5" xfId="0" applyNumberFormat="1" applyFont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1" fillId="7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3" borderId="1" xfId="1" applyFont="1" applyFill="1" applyBorder="1" applyAlignment="1" applyProtection="1">
      <alignment horizontal="center"/>
    </xf>
    <xf numFmtId="0" fontId="2" fillId="4" borderId="2" xfId="1" applyFont="1" applyFill="1" applyBorder="1" applyAlignment="1" applyProtection="1">
      <alignment horizontal="center"/>
    </xf>
    <xf numFmtId="0" fontId="2" fillId="4" borderId="3" xfId="1" applyFont="1" applyFill="1" applyBorder="1" applyAlignment="1" applyProtection="1">
      <alignment horizontal="center"/>
    </xf>
    <xf numFmtId="0" fontId="2" fillId="4" borderId="3" xfId="0" applyFont="1" applyFill="1" applyBorder="1" applyAlignment="1">
      <alignment horizontal="center"/>
    </xf>
    <xf numFmtId="49" fontId="0" fillId="5" borderId="5" xfId="0" applyNumberForma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4" borderId="2" xfId="1" applyFill="1" applyBorder="1" applyAlignment="1" applyProtection="1">
      <alignment horizontal="center"/>
    </xf>
    <xf numFmtId="49" fontId="6" fillId="5" borderId="5" xfId="0" applyNumberFormat="1" applyFont="1" applyFill="1" applyBorder="1" applyAlignment="1">
      <alignment horizontal="left" vertical="center"/>
    </xf>
    <xf numFmtId="0" fontId="4" fillId="3" borderId="1" xfId="1" applyFill="1" applyBorder="1" applyAlignment="1" applyProtection="1">
      <alignment horizontal="center"/>
    </xf>
    <xf numFmtId="0" fontId="4" fillId="4" borderId="2" xfId="1" applyFill="1" applyBorder="1" applyAlignment="1" applyProtection="1">
      <alignment horizontal="center" vertical="center" wrapText="1"/>
    </xf>
    <xf numFmtId="0" fontId="4" fillId="4" borderId="3" xfId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>
      <alignment horizontal="center" vertical="top" wrapText="1" readingOrder="1"/>
    </xf>
    <xf numFmtId="0" fontId="2" fillId="3" borderId="1" xfId="3" applyFont="1" applyFill="1" applyBorder="1" applyAlignment="1">
      <alignment horizontal="center" vertical="top" wrapText="1" readingOrder="1"/>
    </xf>
    <xf numFmtId="0" fontId="2" fillId="4" borderId="2" xfId="3" applyFont="1" applyFill="1" applyBorder="1" applyAlignment="1">
      <alignment horizontal="center" vertical="top" wrapText="1" readingOrder="1"/>
    </xf>
    <xf numFmtId="0" fontId="0" fillId="0" borderId="0" xfId="0" applyAlignment="1">
      <alignment horizontal="left"/>
    </xf>
    <xf numFmtId="49" fontId="1" fillId="5" borderId="5" xfId="0" applyNumberFormat="1" applyFont="1" applyFill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 xr:uid="{00000000-0005-0000-0000-000006000000}"/>
    <cellStyle name="Normal 2 2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E994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mim.org/entry/613978" TargetMode="External"/><Relationship Id="rId2" Type="http://schemas.openxmlformats.org/officeDocument/2006/relationships/hyperlink" Target="https://www.omim.org/entry/604131" TargetMode="External"/><Relationship Id="rId1" Type="http://schemas.openxmlformats.org/officeDocument/2006/relationships/hyperlink" Target="https://www.omim.org/entry/613978" TargetMode="External"/><Relationship Id="rId4" Type="http://schemas.openxmlformats.org/officeDocument/2006/relationships/hyperlink" Target="https://www.omim.org/entry/60413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mim.org/entry/613978" TargetMode="External"/><Relationship Id="rId2" Type="http://schemas.openxmlformats.org/officeDocument/2006/relationships/hyperlink" Target="https://www.omim.org/entry/604131" TargetMode="External"/><Relationship Id="rId1" Type="http://schemas.openxmlformats.org/officeDocument/2006/relationships/hyperlink" Target="https://www.omim.org/entry/613978" TargetMode="External"/><Relationship Id="rId4" Type="http://schemas.openxmlformats.org/officeDocument/2006/relationships/hyperlink" Target="https://www.omim.org/entry/604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49"/>
  <sheetViews>
    <sheetView tabSelected="1" zoomScale="80" zoomScaleNormal="80" workbookViewId="0">
      <selection activeCell="F17" sqref="F17"/>
    </sheetView>
  </sheetViews>
  <sheetFormatPr baseColWidth="10" defaultColWidth="11.5703125" defaultRowHeight="13.9" customHeight="1" x14ac:dyDescent="0.25"/>
  <cols>
    <col min="1" max="1" width="15.5703125" style="1" customWidth="1"/>
    <col min="2" max="2" width="13.7109375" style="2" customWidth="1"/>
    <col min="3" max="3" width="15.5703125" style="3" customWidth="1"/>
    <col min="4" max="7" width="11.5703125" style="4"/>
    <col min="8" max="8" width="11.5703125" style="5"/>
    <col min="9" max="9" width="180.7109375" style="6" customWidth="1"/>
    <col min="10" max="16384" width="11.5703125" style="7"/>
  </cols>
  <sheetData>
    <row r="1" spans="1:9" s="11" customFormat="1" ht="15" x14ac:dyDescent="0.25">
      <c r="A1" s="8" t="s">
        <v>0</v>
      </c>
      <c r="B1" s="9" t="s">
        <v>1</v>
      </c>
      <c r="C1" s="4"/>
      <c r="D1" s="4"/>
      <c r="E1" s="10" t="s">
        <v>2</v>
      </c>
      <c r="F1" s="4"/>
      <c r="G1" s="4"/>
      <c r="H1" s="5"/>
      <c r="I1" s="28" t="s">
        <v>3</v>
      </c>
    </row>
    <row r="2" spans="1:9" ht="15" x14ac:dyDescent="0.25">
      <c r="A2" s="1" t="s">
        <v>4</v>
      </c>
      <c r="B2" s="12">
        <f>HYPERLINK("https://www.omim.org/entry/605378",605378)</f>
        <v>605378</v>
      </c>
      <c r="C2" s="13">
        <f>HYPERLINK("https://www.omim.org/entry/231550",231550)</f>
        <v>231550</v>
      </c>
      <c r="I2" s="6" t="s">
        <v>5</v>
      </c>
    </row>
    <row r="3" spans="1:9" ht="15" x14ac:dyDescent="0.25">
      <c r="A3" s="1" t="s">
        <v>6</v>
      </c>
      <c r="B3" s="12">
        <f>HYPERLINK("https://www.omim.org/entry/605113",605113)</f>
        <v>605113</v>
      </c>
      <c r="C3" s="13">
        <f>HYPERLINK("https://www.omim.org/entry/238700",238700)</f>
        <v>238700</v>
      </c>
      <c r="I3" s="6" t="s">
        <v>7</v>
      </c>
    </row>
    <row r="4" spans="1:9" ht="15" x14ac:dyDescent="0.25">
      <c r="A4" s="1" t="s">
        <v>8</v>
      </c>
      <c r="B4" s="12">
        <f>HYPERLINK("https://www.omim.org/entry/603234",603234)</f>
        <v>603234</v>
      </c>
      <c r="C4" s="13">
        <f>HYPERLINK("https://www.omim.org/entry/614473",614473)</f>
        <v>614473</v>
      </c>
      <c r="I4" s="6" t="s">
        <v>9</v>
      </c>
    </row>
    <row r="5" spans="1:9" ht="15" x14ac:dyDescent="0.25">
      <c r="A5" s="1" t="s">
        <v>10</v>
      </c>
      <c r="B5" s="12">
        <f>HYPERLINK("https://www.omim.org/entry/600509",600509)</f>
        <v>600509</v>
      </c>
      <c r="C5" s="13">
        <f>HYPERLINK("https://www.omim.org/entry/618857",618857)</f>
        <v>618857</v>
      </c>
      <c r="D5" s="14">
        <f>HYPERLINK("https://www.omim.org/entry/610374",610374)</f>
        <v>610374</v>
      </c>
      <c r="E5" s="14">
        <f>HYPERLINK("https://www.omim.org/entry/256450",256450)</f>
        <v>256450</v>
      </c>
      <c r="I5" s="6" t="s">
        <v>11</v>
      </c>
    </row>
    <row r="6" spans="1:9" ht="15" x14ac:dyDescent="0.25">
      <c r="A6" s="1" t="s">
        <v>12</v>
      </c>
      <c r="B6" s="12">
        <f>HYPERLINK("https://www.omim.org/entry/300371",300371)</f>
        <v>300371</v>
      </c>
      <c r="C6" s="13">
        <f>HYPERLINK("https://www.omim.org/entry/300100",300100)</f>
        <v>300100</v>
      </c>
      <c r="I6" s="6" t="s">
        <v>13</v>
      </c>
    </row>
    <row r="7" spans="1:9" ht="15" x14ac:dyDescent="0.25">
      <c r="A7" s="1" t="s">
        <v>14</v>
      </c>
      <c r="B7" s="12">
        <f>HYPERLINK("https://www.omim.org/entry/603214",603214)</f>
        <v>603214</v>
      </c>
      <c r="C7" s="13">
        <f>HYPERLINK("https://www.omim.org/entry/614857",614857)</f>
        <v>614857</v>
      </c>
      <c r="I7" s="6" t="s">
        <v>15</v>
      </c>
    </row>
    <row r="8" spans="1:9" ht="15" x14ac:dyDescent="0.25">
      <c r="A8" s="1" t="s">
        <v>16</v>
      </c>
      <c r="B8" s="12">
        <f>HYPERLINK("https://www.omim.org/entry/605459",605459)</f>
        <v>605459</v>
      </c>
      <c r="C8" s="13">
        <f>HYPERLINK("https://www.omim.org/entry/618666",618666)</f>
        <v>618666</v>
      </c>
      <c r="I8" s="6" t="s">
        <v>17</v>
      </c>
    </row>
    <row r="9" spans="1:9" ht="15" x14ac:dyDescent="0.25">
      <c r="A9" s="1" t="s">
        <v>18</v>
      </c>
      <c r="B9" s="12">
        <f>HYPERLINK("https://www.omim.org/entry/605460",605460)</f>
        <v>605460</v>
      </c>
      <c r="C9" s="13">
        <f>HYPERLINK("https://www.omim.org/entry/210250",210250)</f>
        <v>210250</v>
      </c>
      <c r="I9" s="6" t="s">
        <v>17</v>
      </c>
    </row>
    <row r="10" spans="1:9" ht="15" x14ac:dyDescent="0.25">
      <c r="A10" s="1" t="s">
        <v>19</v>
      </c>
      <c r="B10" s="12">
        <f>HYPERLINK("https://www.omim.org/entry/607008",607008)</f>
        <v>607008</v>
      </c>
      <c r="C10" s="13">
        <f>HYPERLINK("https://www.omim.org/entry/201450",201450)</f>
        <v>201450</v>
      </c>
      <c r="I10" s="6" t="s">
        <v>20</v>
      </c>
    </row>
    <row r="11" spans="1:9" ht="15" x14ac:dyDescent="0.25">
      <c r="A11" s="1" t="s">
        <v>21</v>
      </c>
      <c r="B11" s="12">
        <f>HYPERLINK("https://www.omim.org/entry/600301",600301)</f>
        <v>600301</v>
      </c>
      <c r="C11" s="13">
        <f>HYPERLINK("https://www.omim.org/entry/610006",610006)</f>
        <v>610006</v>
      </c>
      <c r="I11" s="6" t="s">
        <v>22</v>
      </c>
    </row>
    <row r="12" spans="1:9" ht="15" x14ac:dyDescent="0.25">
      <c r="A12" s="1" t="s">
        <v>23</v>
      </c>
      <c r="B12" s="12">
        <f>HYPERLINK("https://www.omim.org/entry/609575",609575)</f>
        <v>609575</v>
      </c>
      <c r="C12" s="13">
        <f>HYPERLINK("https://www.omim.org/entry/201475",201475)</f>
        <v>201475</v>
      </c>
      <c r="I12" s="6" t="s">
        <v>24</v>
      </c>
    </row>
    <row r="13" spans="1:9" ht="15" x14ac:dyDescent="0.25">
      <c r="A13" s="1" t="s">
        <v>25</v>
      </c>
      <c r="B13" s="12">
        <f>HYPERLINK("https://www.omim.org/entry/607809",607809)</f>
        <v>607809</v>
      </c>
      <c r="C13" s="13">
        <f>HYPERLINK("https://www.omim.org/entry/203750",203750)</f>
        <v>203750</v>
      </c>
      <c r="I13" s="6" t="s">
        <v>26</v>
      </c>
    </row>
    <row r="14" spans="1:9" ht="15" x14ac:dyDescent="0.25">
      <c r="A14" s="1" t="s">
        <v>27</v>
      </c>
      <c r="B14" s="2">
        <f>HYPERLINK("https://www.omim.org/entry/614245",614245)</f>
        <v>614245</v>
      </c>
      <c r="C14" s="3">
        <f>HYPERLINK("https://www.omim.org/entry/614265",614265)</f>
        <v>614265</v>
      </c>
      <c r="I14" s="6" t="s">
        <v>28</v>
      </c>
    </row>
    <row r="15" spans="1:9" ht="15" x14ac:dyDescent="0.25">
      <c r="A15" s="1" t="s">
        <v>29</v>
      </c>
      <c r="B15" s="2">
        <f>HYPERLINK("https://www.omim.org/entry/601284",601284)</f>
        <v>601284</v>
      </c>
      <c r="C15" s="3">
        <f>HYPERLINK("https://www.omim.org/entry/600376",600376)</f>
        <v>600376</v>
      </c>
      <c r="I15" s="6" t="s">
        <v>30</v>
      </c>
    </row>
    <row r="16" spans="1:9" ht="15" x14ac:dyDescent="0.25">
      <c r="A16" s="1" t="s">
        <v>31</v>
      </c>
      <c r="B16" s="2">
        <f>HYPERLINK("https://www.omim.org/entry/608958",608958)</f>
        <v>608958</v>
      </c>
      <c r="C16" s="3">
        <f>HYPERLINK("https://www.omim.org/entry/102700",102700)</f>
        <v>102700</v>
      </c>
      <c r="I16" s="6" t="s">
        <v>32</v>
      </c>
    </row>
    <row r="17" spans="1:9" ht="15" x14ac:dyDescent="0.25">
      <c r="A17" s="1" t="s">
        <v>33</v>
      </c>
      <c r="B17" s="2">
        <f>HYPERLINK("https://www.omim.org/entry/607575",607575)</f>
        <v>607575</v>
      </c>
      <c r="C17" s="3">
        <f>HYPERLINK("https://www.omim.org/entry/615688",615688)</f>
        <v>615688</v>
      </c>
      <c r="I17" s="6" t="s">
        <v>34</v>
      </c>
    </row>
    <row r="18" spans="1:9" ht="15" x14ac:dyDescent="0.25">
      <c r="A18" s="1" t="s">
        <v>35</v>
      </c>
      <c r="B18" s="2">
        <f>HYPERLINK("https://www.omim.org/entry/603639",603639)</f>
        <v>603639</v>
      </c>
      <c r="C18" s="3">
        <f>HYPERLINK("https://www.omim.org/entry/614328",614328)</f>
        <v>614328</v>
      </c>
      <c r="I18" s="6" t="s">
        <v>36</v>
      </c>
    </row>
    <row r="19" spans="1:9" ht="15" x14ac:dyDescent="0.25">
      <c r="A19" s="1" t="s">
        <v>37</v>
      </c>
      <c r="B19" s="2">
        <f>HYPERLINK("https://www.omim.org/entry/604134",604134)</f>
        <v>604134</v>
      </c>
      <c r="C19" s="3">
        <f>HYPERLINK("https://www.omim.org/entry/274150",274150)</f>
        <v>274150</v>
      </c>
      <c r="I19" s="6" t="s">
        <v>38</v>
      </c>
    </row>
    <row r="20" spans="1:9" ht="15" x14ac:dyDescent="0.25">
      <c r="A20" s="1" t="s">
        <v>39</v>
      </c>
      <c r="B20" s="2">
        <f>HYPERLINK("https://www.omim.org/entry/146920",146920)</f>
        <v>146920</v>
      </c>
      <c r="C20" s="3">
        <f>HYPERLINK("https://www.omim.org/entry/615010",615010)</f>
        <v>615010</v>
      </c>
      <c r="I20" s="6" t="s">
        <v>40</v>
      </c>
    </row>
    <row r="21" spans="1:9" ht="15" x14ac:dyDescent="0.25">
      <c r="A21" s="1" t="s">
        <v>41</v>
      </c>
      <c r="B21" s="2">
        <f>HYPERLINK("https://www.omim.org/entry/602851",602851)</f>
        <v>602851</v>
      </c>
      <c r="C21" s="3">
        <f>HYPERLINK("https://www.omim.org/entry/605472",605472)</f>
        <v>605472</v>
      </c>
      <c r="I21" s="6" t="s">
        <v>42</v>
      </c>
    </row>
    <row r="22" spans="1:9" ht="15" x14ac:dyDescent="0.25">
      <c r="A22" s="1" t="s">
        <v>43</v>
      </c>
      <c r="B22" s="2">
        <f>HYPERLINK("https://www.omim.org/entry/610860",610860)</f>
        <v>610860</v>
      </c>
      <c r="C22" s="3">
        <f>HYPERLINK("https://www.omim.org/entry/232400",232400)</f>
        <v>232400</v>
      </c>
      <c r="I22" s="6" t="s">
        <v>44</v>
      </c>
    </row>
    <row r="23" spans="1:9" ht="15" x14ac:dyDescent="0.25">
      <c r="A23" s="1" t="s">
        <v>45</v>
      </c>
      <c r="B23" s="2">
        <f>HYPERLINK("https://www.omim.org/entry/603100",603100)</f>
        <v>603100</v>
      </c>
      <c r="C23" s="3">
        <f>HYPERLINK("https://www.omim.org/entry/608594",608594)</f>
        <v>608594</v>
      </c>
      <c r="I23" s="6" t="s">
        <v>46</v>
      </c>
    </row>
    <row r="24" spans="1:9" ht="15" x14ac:dyDescent="0.25">
      <c r="A24" s="1" t="s">
        <v>47</v>
      </c>
      <c r="B24" s="2">
        <f>HYPERLINK("https://www.omim.org/entry/103320",103320)</f>
        <v>103320</v>
      </c>
      <c r="C24" s="3">
        <f>HYPERLINK("https://www.omim.org/entry/615120",615120)</f>
        <v>615120</v>
      </c>
      <c r="I24" s="6" t="s">
        <v>48</v>
      </c>
    </row>
    <row r="25" spans="1:9" ht="15" x14ac:dyDescent="0.25">
      <c r="A25" s="1" t="s">
        <v>49</v>
      </c>
      <c r="B25" s="2">
        <f>HYPERLINK("https://www.omim.org/entry/604285",604285)</f>
        <v>604285</v>
      </c>
      <c r="C25" s="3">
        <f>HYPERLINK("https://www.omim.org/entry/259900",259900)</f>
        <v>259900</v>
      </c>
      <c r="I25" s="6" t="s">
        <v>50</v>
      </c>
    </row>
    <row r="26" spans="1:9" ht="15" x14ac:dyDescent="0.25">
      <c r="A26" s="1" t="s">
        <v>51</v>
      </c>
      <c r="B26" s="2">
        <f>HYPERLINK("https://www.omim.org/entry/180960",180960)</f>
        <v>180960</v>
      </c>
      <c r="C26" s="3">
        <f>HYPERLINK("https://www.omim.org/entry/613752",613752)</f>
        <v>613752</v>
      </c>
      <c r="I26" s="6" t="s">
        <v>52</v>
      </c>
    </row>
    <row r="27" spans="1:9" ht="15" x14ac:dyDescent="0.25">
      <c r="A27" s="1" t="s">
        <v>53</v>
      </c>
      <c r="B27" s="2">
        <f>HYPERLINK("https://www.omim.org/entry/605257",605257)</f>
        <v>605257</v>
      </c>
      <c r="C27" s="3">
        <f>HYPERLINK("https://www.omim.org/entry/605258",605258)</f>
        <v>605258</v>
      </c>
      <c r="I27" s="6" t="s">
        <v>54</v>
      </c>
    </row>
    <row r="28" spans="1:9" ht="15" x14ac:dyDescent="0.25">
      <c r="A28" s="1" t="s">
        <v>55</v>
      </c>
      <c r="B28" s="2">
        <f>HYPERLINK("https://www.omim.org/entry/607358",607358)</f>
        <v>607358</v>
      </c>
      <c r="C28" s="3">
        <f>HYPERLINK("https://www.omim.org/entry/240300",240300)</f>
        <v>240300</v>
      </c>
      <c r="I28" s="6" t="s">
        <v>56</v>
      </c>
    </row>
    <row r="29" spans="1:9" ht="15" x14ac:dyDescent="0.25">
      <c r="A29" s="1" t="s">
        <v>57</v>
      </c>
      <c r="B29" s="2">
        <f>HYPERLINK("https://www.omim.org/entry/103020",103020)</f>
        <v>103020</v>
      </c>
      <c r="C29" s="3">
        <f>HYPERLINK("https://www.omim.org/entry/267500",267500)</f>
        <v>267500</v>
      </c>
      <c r="I29" s="6" t="s">
        <v>58</v>
      </c>
    </row>
    <row r="30" spans="1:9" ht="15" x14ac:dyDescent="0.25">
      <c r="A30" s="1" t="s">
        <v>59</v>
      </c>
      <c r="B30" s="2">
        <f>HYPERLINK("https://www.omim.org/entry/604001",604001)</f>
        <v>604001</v>
      </c>
      <c r="C30" s="3">
        <f>HYPERLINK("https://www.omim.org/entry/611820",611820)</f>
        <v>611820</v>
      </c>
      <c r="I30" s="6" t="s">
        <v>60</v>
      </c>
    </row>
    <row r="31" spans="1:9" ht="15" x14ac:dyDescent="0.25">
      <c r="A31" s="1" t="s">
        <v>61</v>
      </c>
      <c r="B31" s="2">
        <f>HYPERLINK("https://www.omim.org/entry/604741",604741)</f>
        <v>604741</v>
      </c>
      <c r="C31" s="3">
        <f>HYPERLINK("https://www.omim.org/entry/235555",235555)</f>
        <v>235555</v>
      </c>
      <c r="I31" s="6" t="s">
        <v>62</v>
      </c>
    </row>
    <row r="32" spans="1:9" ht="15" x14ac:dyDescent="0.25">
      <c r="A32" s="1" t="s">
        <v>63</v>
      </c>
      <c r="B32" s="2">
        <f>HYPERLINK("https://www.omim.org/entry/164731",164731)</f>
        <v>164731</v>
      </c>
      <c r="C32" s="3">
        <f>HYPERLINK("https://www.omim.org/entry/240900",240900)</f>
        <v>240900</v>
      </c>
      <c r="I32" s="6" t="s">
        <v>64</v>
      </c>
    </row>
    <row r="33" spans="1:9" ht="15" x14ac:dyDescent="0.25">
      <c r="A33" s="1" t="s">
        <v>65</v>
      </c>
      <c r="B33" s="2">
        <f>HYPERLINK("https://www.omim.org/entry/125270",125270)</f>
        <v>125270</v>
      </c>
      <c r="C33" s="3">
        <f>HYPERLINK("https://www.omim.org/entry/612740",612740)</f>
        <v>612740</v>
      </c>
      <c r="I33" s="6" t="s">
        <v>66</v>
      </c>
    </row>
    <row r="34" spans="1:9" ht="15" x14ac:dyDescent="0.25">
      <c r="A34" s="1" t="s">
        <v>67</v>
      </c>
      <c r="B34" s="2">
        <f>HYPERLINK("https://www.omim.org/entry/301300",301300)</f>
        <v>301300</v>
      </c>
      <c r="C34" s="3">
        <f>HYPERLINK("https://www.omim.org/entry/300751",300751)</f>
        <v>300751</v>
      </c>
      <c r="D34" s="15">
        <f>HYPERLINK("https://www.omim.org/entry/300752",300752)</f>
        <v>300752</v>
      </c>
      <c r="I34" s="6" t="s">
        <v>68</v>
      </c>
    </row>
    <row r="35" spans="1:9" ht="15" x14ac:dyDescent="0.25">
      <c r="A35" s="1" t="s">
        <v>69</v>
      </c>
      <c r="B35" s="2">
        <f>HYPERLINK("https://www.omim.org/entry/606811",606811)</f>
        <v>606811</v>
      </c>
      <c r="C35" s="3">
        <f>HYPERLINK("https://www.omim.org/entry/239510",239510)</f>
        <v>239510</v>
      </c>
      <c r="I35" s="6" t="s">
        <v>70</v>
      </c>
    </row>
    <row r="36" spans="1:9" ht="15" x14ac:dyDescent="0.25">
      <c r="A36" s="1" t="s">
        <v>71</v>
      </c>
      <c r="B36" s="2">
        <f>HYPERLINK("https://www.omim.org/entry/610045",610045)</f>
        <v>610045</v>
      </c>
      <c r="C36" s="3">
        <f>HYPERLINK("https://www.omim.org/entry/271980",271980)</f>
        <v>271980</v>
      </c>
      <c r="I36" s="6" t="s">
        <v>72</v>
      </c>
    </row>
    <row r="37" spans="1:9" ht="15" x14ac:dyDescent="0.25">
      <c r="A37" s="1" t="s">
        <v>73</v>
      </c>
      <c r="B37" s="2">
        <f>HYPERLINK("https://www.omim.org/entry/603178",603178)</f>
        <v>603178</v>
      </c>
      <c r="C37" s="3">
        <f>HYPERLINK("https://www.omim.org/entry/614105",614105)</f>
        <v>614105</v>
      </c>
      <c r="I37" s="6" t="s">
        <v>74</v>
      </c>
    </row>
    <row r="38" spans="1:9" ht="15" x14ac:dyDescent="0.25">
      <c r="A38" s="1" t="s">
        <v>75</v>
      </c>
      <c r="B38" s="2">
        <f>HYPERLINK("https://www.omim.org/entry/107323",107323)</f>
        <v>107323</v>
      </c>
      <c r="C38" s="3">
        <f>HYPERLINK("https://www.omim.org/entry/266100",266100)</f>
        <v>266100</v>
      </c>
      <c r="I38" s="6" t="s">
        <v>76</v>
      </c>
    </row>
    <row r="39" spans="1:9" ht="15" x14ac:dyDescent="0.25">
      <c r="A39" s="1" t="s">
        <v>77</v>
      </c>
      <c r="B39" s="2">
        <f>HYPERLINK("https://www.omim.org/entry/612724",612724)</f>
        <v>612724</v>
      </c>
      <c r="C39" s="3">
        <f>HYPERLINK("https://www.omim.org/entry/229600",229600)</f>
        <v>229600</v>
      </c>
      <c r="I39" s="6" t="s">
        <v>78</v>
      </c>
    </row>
    <row r="40" spans="1:9" ht="15" x14ac:dyDescent="0.25">
      <c r="A40" s="1" t="s">
        <v>79</v>
      </c>
      <c r="B40" s="2">
        <f>HYPERLINK("https://www.omim.org/entry/612866",612866)</f>
        <v>612866</v>
      </c>
      <c r="C40" s="3">
        <f>HYPERLINK("https://www.omim.org/entry/619036",619036)</f>
        <v>619036</v>
      </c>
      <c r="I40" s="6" t="s">
        <v>80</v>
      </c>
    </row>
    <row r="41" spans="1:9" ht="15" x14ac:dyDescent="0.25">
      <c r="A41" s="1" t="s">
        <v>81</v>
      </c>
      <c r="B41" s="2">
        <f>HYPERLINK("https://www.omim.org/entry/607905",607905)</f>
        <v>607905</v>
      </c>
      <c r="C41" s="3">
        <f>HYPERLINK("https://www.omim.org/entry/607906",607906)</f>
        <v>607906</v>
      </c>
      <c r="D41" s="15">
        <f>HYPERLINK("https://www.omim.org/entry/616228",616228)</f>
        <v>616228</v>
      </c>
      <c r="I41" s="16" t="s">
        <v>1492</v>
      </c>
    </row>
    <row r="42" spans="1:9" ht="15" x14ac:dyDescent="0.25">
      <c r="A42" s="1" t="s">
        <v>82</v>
      </c>
      <c r="B42" s="2">
        <f>HYPERLINK("https://www.omim.org/entry/171760",171760)</f>
        <v>171760</v>
      </c>
      <c r="C42" s="3">
        <f>HYPERLINK("https://www.omim.org/entry/241500",241500)</f>
        <v>241500</v>
      </c>
      <c r="D42" s="15">
        <f>HYPERLINK("https://www.omim.org/entry/241510",241510)</f>
        <v>241510</v>
      </c>
      <c r="I42" s="6" t="s">
        <v>83</v>
      </c>
    </row>
    <row r="43" spans="1:9" ht="15" x14ac:dyDescent="0.25">
      <c r="A43" s="1" t="s">
        <v>84</v>
      </c>
      <c r="B43" s="2">
        <f>HYPERLINK("https://www.omim.org/entry/604489",604489)</f>
        <v>604489</v>
      </c>
      <c r="C43" s="3">
        <f>HYPERLINK("https://www.omim.org/entry/214950",214950)</f>
        <v>214950</v>
      </c>
      <c r="I43" s="6" t="s">
        <v>85</v>
      </c>
    </row>
    <row r="44" spans="1:9" ht="15" x14ac:dyDescent="0.25">
      <c r="A44" s="1" t="s">
        <v>86</v>
      </c>
      <c r="B44" s="2">
        <f>HYPERLINK("https://www.omim.org/entry/605799",605799)</f>
        <v>605799</v>
      </c>
      <c r="C44" s="3">
        <f>HYPERLINK("https://www.omim.org/entry/618882",618882)</f>
        <v>618882</v>
      </c>
      <c r="I44" s="6" t="s">
        <v>87</v>
      </c>
    </row>
    <row r="45" spans="1:9" ht="15" x14ac:dyDescent="0.25">
      <c r="A45" s="1" t="s">
        <v>88</v>
      </c>
      <c r="B45" s="2">
        <f>HYPERLINK("https://www.omim.org/entry/106410",106410)</f>
        <v>106410</v>
      </c>
      <c r="C45" s="3">
        <f>HYPERLINK("https://www.omim.org/entry/600919",600919)</f>
        <v>600919</v>
      </c>
      <c r="I45" s="6" t="s">
        <v>89</v>
      </c>
    </row>
    <row r="46" spans="1:9" ht="15" x14ac:dyDescent="0.25">
      <c r="A46" s="1" t="s">
        <v>90</v>
      </c>
      <c r="B46" s="2">
        <f>HYPERLINK("https://www.omim.org/entry/603531",603531)</f>
        <v>603531</v>
      </c>
      <c r="C46" s="3">
        <f>HYPERLINK("https://www.omim.org/entry/609313",609313)</f>
        <v>609313</v>
      </c>
      <c r="I46" s="6" t="s">
        <v>91</v>
      </c>
    </row>
    <row r="47" spans="1:9" ht="15" x14ac:dyDescent="0.25">
      <c r="A47" s="1" t="s">
        <v>92</v>
      </c>
      <c r="B47" s="2">
        <f>HYPERLINK("https://www.omim.org/entry/603401",603401)</f>
        <v>603401</v>
      </c>
      <c r="C47" s="3">
        <f>HYPERLINK("https://www.omim.org/entry/608233",608233)</f>
        <v>608233</v>
      </c>
      <c r="I47" s="6" t="s">
        <v>93</v>
      </c>
    </row>
    <row r="48" spans="1:9" ht="15" x14ac:dyDescent="0.25">
      <c r="A48" s="1" t="s">
        <v>94</v>
      </c>
      <c r="B48" s="2">
        <f>HYPERLINK("https://www.omim.org/entry/607246",607246)</f>
        <v>607246</v>
      </c>
      <c r="C48" s="3">
        <f>HYPERLINK("https://www.omim.org/entry/617050",617050)</f>
        <v>617050</v>
      </c>
      <c r="I48" s="6" t="s">
        <v>95</v>
      </c>
    </row>
    <row r="49" spans="1:9" ht="15" x14ac:dyDescent="0.25">
      <c r="A49" s="1" t="s">
        <v>96</v>
      </c>
      <c r="B49" s="2">
        <f>HYPERLINK("https://www.omim.org/entry/606368",606368)</f>
        <v>606368</v>
      </c>
      <c r="C49" s="3">
        <f>HYPERLINK("https://www.omim.org/entry/145750",145750)</f>
        <v>145750</v>
      </c>
      <c r="I49" s="6" t="s">
        <v>97</v>
      </c>
    </row>
    <row r="50" spans="1:9" ht="15" x14ac:dyDescent="0.25">
      <c r="A50" s="1" t="s">
        <v>98</v>
      </c>
      <c r="B50" s="2">
        <f>HYPERLINK("https://www.omim.org/entry/107730",107730)</f>
        <v>107730</v>
      </c>
      <c r="C50" s="3">
        <f>HYPERLINK("https://www.omim.org/entry/144010",144010)</f>
        <v>144010</v>
      </c>
      <c r="I50" s="6" t="s">
        <v>99</v>
      </c>
    </row>
    <row r="51" spans="1:9" ht="15" x14ac:dyDescent="0.25">
      <c r="A51" s="1" t="s">
        <v>100</v>
      </c>
      <c r="B51" s="2">
        <f>HYPERLINK("https://www.omim.org/entry/608083",608083)</f>
        <v>608083</v>
      </c>
      <c r="C51" s="3">
        <f>HYPERLINK("https://www.omim.org/entry/207750",207750)</f>
        <v>207750</v>
      </c>
      <c r="I51" s="6" t="s">
        <v>101</v>
      </c>
    </row>
    <row r="52" spans="1:9" ht="15" x14ac:dyDescent="0.25">
      <c r="A52" s="1" t="s">
        <v>102</v>
      </c>
      <c r="B52" s="2">
        <f>HYPERLINK("https://www.omim.org/entry/102600",102600)</f>
        <v>102600</v>
      </c>
      <c r="C52" s="3">
        <f>HYPERLINK("https://www.omim.org/entry/614723",614723)</f>
        <v>614723</v>
      </c>
      <c r="I52" s="6" t="s">
        <v>103</v>
      </c>
    </row>
    <row r="53" spans="1:9" ht="15" x14ac:dyDescent="0.25">
      <c r="A53" s="1" t="s">
        <v>104</v>
      </c>
      <c r="B53" s="2">
        <f>HYPERLINK("https://www.omim.org/entry/107777",107777)</f>
        <v>107777</v>
      </c>
      <c r="C53" s="3">
        <f>HYPERLINK("https://www.omim.org/entry/125800",125800)</f>
        <v>125800</v>
      </c>
      <c r="I53" s="6" t="s">
        <v>105</v>
      </c>
    </row>
    <row r="54" spans="1:9" ht="15" x14ac:dyDescent="0.25">
      <c r="A54" s="1" t="s">
        <v>106</v>
      </c>
      <c r="B54" s="2">
        <f>HYPERLINK("https://www.omim.org/entry/608313",608313)</f>
        <v>608313</v>
      </c>
      <c r="C54" s="3">
        <f>HYPERLINK("https://www.omim.org/entry/207800",207800)</f>
        <v>207800</v>
      </c>
      <c r="I54" s="6" t="s">
        <v>107</v>
      </c>
    </row>
    <row r="55" spans="1:9" ht="15" x14ac:dyDescent="0.25">
      <c r="A55" s="1" t="s">
        <v>108</v>
      </c>
      <c r="B55" s="2">
        <f>HYPERLINK("https://www.omim.org/entry/601855",601855)</f>
        <v>601855</v>
      </c>
      <c r="C55" s="3">
        <f>HYPERLINK("https://www.omim.org/entry/618459",618459)</f>
        <v>618459</v>
      </c>
      <c r="I55" s="6" t="s">
        <v>109</v>
      </c>
    </row>
    <row r="56" spans="1:9" ht="15" x14ac:dyDescent="0.25">
      <c r="A56" s="1" t="s">
        <v>110</v>
      </c>
      <c r="B56" s="2">
        <f>HYPERLINK("https://www.omim.org/entry/604223",604223)</f>
        <v>604223</v>
      </c>
      <c r="C56" s="3">
        <f>HYPERLINK("https://www.omim.org/entry/617718",617718)</f>
        <v>617718</v>
      </c>
      <c r="I56" s="6" t="s">
        <v>111</v>
      </c>
    </row>
    <row r="57" spans="1:9" ht="15" x14ac:dyDescent="0.25">
      <c r="A57" s="1" t="s">
        <v>112</v>
      </c>
      <c r="B57" s="2">
        <f>HYPERLINK("https://www.omim.org/entry/607574",607574)</f>
        <v>607574</v>
      </c>
      <c r="C57" s="3">
        <f>HYPERLINK("https://www.omim.org/entry/250100",250100)</f>
        <v>250100</v>
      </c>
      <c r="I57" s="6" t="s">
        <v>113</v>
      </c>
    </row>
    <row r="58" spans="1:9" ht="15" x14ac:dyDescent="0.25">
      <c r="A58" s="1" t="s">
        <v>114</v>
      </c>
      <c r="B58" s="2">
        <f>HYPERLINK("https://www.omim.org/entry/611542",611542)</f>
        <v>611542</v>
      </c>
      <c r="C58" s="3">
        <f>HYPERLINK("https://www.omim.org/entry/253200",253200)</f>
        <v>253200</v>
      </c>
      <c r="I58" s="6" t="s">
        <v>115</v>
      </c>
    </row>
    <row r="59" spans="1:9" ht="15" x14ac:dyDescent="0.25">
      <c r="A59" s="1" t="s">
        <v>116</v>
      </c>
      <c r="B59" s="2">
        <f>HYPERLINK("https://www.omim.org/entry/608310",608310)</f>
        <v>608310</v>
      </c>
      <c r="C59" s="3">
        <f>HYPERLINK("https://www.omim.org/entry/207900",207900)</f>
        <v>207900</v>
      </c>
      <c r="I59" s="6" t="s">
        <v>117</v>
      </c>
    </row>
    <row r="60" spans="1:9" ht="15" x14ac:dyDescent="0.25">
      <c r="A60" s="1" t="s">
        <v>118</v>
      </c>
      <c r="B60" s="2">
        <f>HYPERLINK("https://www.omim.org/entry/603470",603470)</f>
        <v>603470</v>
      </c>
      <c r="C60" s="3">
        <f>HYPERLINK("https://www.omim.org/entry/215700",215700)</f>
        <v>215700</v>
      </c>
      <c r="I60" s="6" t="s">
        <v>119</v>
      </c>
    </row>
    <row r="61" spans="1:9" ht="15" x14ac:dyDescent="0.25">
      <c r="A61" s="1" t="s">
        <v>120</v>
      </c>
      <c r="B61" s="2">
        <f>HYPERLINK("https://www.omim.org/entry/605239",605239)</f>
        <v>605239</v>
      </c>
      <c r="C61" s="3">
        <f>HYPERLINK("https://www.omim.org/entry/602722",602722)</f>
        <v>602722</v>
      </c>
      <c r="I61" s="6" t="s">
        <v>121</v>
      </c>
    </row>
    <row r="62" spans="1:9" ht="15" x14ac:dyDescent="0.25">
      <c r="A62" s="1" t="s">
        <v>122</v>
      </c>
      <c r="B62" s="2">
        <f>HYPERLINK("https://www.omim.org/entry/192132",192132)</f>
        <v>192132</v>
      </c>
      <c r="C62" s="3">
        <f>HYPERLINK("https://www.omim.org/entry/267300",267300)</f>
        <v>267300</v>
      </c>
      <c r="I62" s="6" t="s">
        <v>123</v>
      </c>
    </row>
    <row r="63" spans="1:9" ht="15" x14ac:dyDescent="0.25">
      <c r="A63" s="1" t="s">
        <v>124</v>
      </c>
      <c r="B63" s="2">
        <f>HYPERLINK("https://www.omim.org/entry/300011",300011)</f>
        <v>300011</v>
      </c>
      <c r="C63" s="3">
        <f>HYPERLINK("https://www.omim.org/entry/309400",309400)</f>
        <v>309400</v>
      </c>
      <c r="I63" s="6" t="s">
        <v>125</v>
      </c>
    </row>
    <row r="64" spans="1:9" ht="15" x14ac:dyDescent="0.25">
      <c r="A64" s="1" t="s">
        <v>126</v>
      </c>
      <c r="B64" s="2">
        <f>HYPERLINK("https://www.omim.org/entry/606882",606882)</f>
        <v>606882</v>
      </c>
      <c r="C64" s="3">
        <f>HYPERLINK("https://www.omim.org/entry/277900",277900)</f>
        <v>277900</v>
      </c>
      <c r="I64" s="6" t="s">
        <v>127</v>
      </c>
    </row>
    <row r="65" spans="1:9" ht="15" x14ac:dyDescent="0.25">
      <c r="A65" s="1" t="s">
        <v>128</v>
      </c>
      <c r="B65" s="2">
        <f>HYPERLINK("https://www.omim.org/entry/602397",602397)</f>
        <v>602397</v>
      </c>
      <c r="C65" s="3">
        <f>HYPERLINK("https://www.omim.org/entry/211600",211600)</f>
        <v>211600</v>
      </c>
      <c r="D65" s="15">
        <f>HYPERLINK("https://www.omim.org/entry/147480",147480)</f>
        <v>147480</v>
      </c>
      <c r="E65" s="15">
        <f>HYPERLINK("https://www.omim.org/entry/243300",243300)</f>
        <v>243300</v>
      </c>
      <c r="I65" s="6" t="s">
        <v>129</v>
      </c>
    </row>
    <row r="66" spans="1:9" ht="15" x14ac:dyDescent="0.25">
      <c r="A66" s="1" t="s">
        <v>130</v>
      </c>
      <c r="B66" s="2">
        <f>HYPERLINK("https://www.omim.org/entry/600529",600529)</f>
        <v>600529</v>
      </c>
      <c r="C66" s="3">
        <f>HYPERLINK("https://www.omim.org/entry/250950",250950)</f>
        <v>250950</v>
      </c>
      <c r="I66" s="6" t="s">
        <v>131</v>
      </c>
    </row>
    <row r="67" spans="1:9" ht="15" x14ac:dyDescent="0.25">
      <c r="A67" s="1" t="s">
        <v>132</v>
      </c>
      <c r="B67" s="2">
        <f>HYPERLINK("https://www.omim.org/entry/192340",192340)</f>
        <v>192340</v>
      </c>
      <c r="C67" s="3">
        <f>HYPERLINK("https://www.omim.org/entry/125700",125700)</f>
        <v>125700</v>
      </c>
      <c r="I67" s="6" t="s">
        <v>133</v>
      </c>
    </row>
    <row r="68" spans="1:9" ht="15" x14ac:dyDescent="0.25">
      <c r="A68" s="1" t="s">
        <v>134</v>
      </c>
      <c r="B68" s="2">
        <f>HYPERLINK("https://www.omim.org/entry/300538",300538)</f>
        <v>300538</v>
      </c>
      <c r="C68" s="3">
        <f>HYPERLINK("https://www.omim.org/entry/304800",304800)</f>
        <v>304800</v>
      </c>
      <c r="I68" s="6" t="s">
        <v>135</v>
      </c>
    </row>
    <row r="69" spans="1:9" ht="15" x14ac:dyDescent="0.25">
      <c r="A69" s="1" t="s">
        <v>136</v>
      </c>
      <c r="B69" s="2">
        <f>HYPERLINK("https://www.omim.org/entry/602938",602938)</f>
        <v>602938</v>
      </c>
      <c r="C69" s="3">
        <f>HYPERLINK("https://www.omim.org/entry/619232",619232)</f>
        <v>619232</v>
      </c>
      <c r="I69" s="6" t="s">
        <v>137</v>
      </c>
    </row>
    <row r="70" spans="1:9" ht="15" x14ac:dyDescent="0.25">
      <c r="A70" s="1" t="s">
        <v>138</v>
      </c>
      <c r="B70" s="2">
        <f>HYPERLINK("https://www.omim.org/entry/605394",605394)</f>
        <v>605394</v>
      </c>
      <c r="C70" s="3">
        <f>HYPERLINK("https://www.omim.org/entry/618394",618394)</f>
        <v>618394</v>
      </c>
      <c r="I70" s="6" t="s">
        <v>139</v>
      </c>
    </row>
    <row r="71" spans="1:9" ht="15" x14ac:dyDescent="0.25">
      <c r="A71" s="1" t="s">
        <v>140</v>
      </c>
      <c r="B71" s="2">
        <f>HYPERLINK("https://www.omim.org/entry/603883",603883)</f>
        <v>603883</v>
      </c>
      <c r="C71" s="3">
        <f>HYPERLINK("https://www.omim.org/entry/621094",621094)</f>
        <v>621094</v>
      </c>
      <c r="D71" s="15">
        <f>HYPERLINK("https://www.omim.org/entry/613881",613881)</f>
        <v>613881</v>
      </c>
      <c r="E71" s="15">
        <f>HYPERLINK("https://www.omim.org/entry/621095",621095)</f>
        <v>621095</v>
      </c>
      <c r="I71" s="6" t="s">
        <v>141</v>
      </c>
    </row>
    <row r="72" spans="1:9" ht="15" x14ac:dyDescent="0.25">
      <c r="A72" s="1" t="s">
        <v>142</v>
      </c>
      <c r="B72" s="2">
        <f>HYPERLINK("https://www.omim.org/entry/608348",608348)</f>
        <v>608348</v>
      </c>
      <c r="C72" s="3">
        <f>HYPERLINK("https://www.omim.org/entry/248600",248600)</f>
        <v>248600</v>
      </c>
      <c r="I72" s="6" t="s">
        <v>143</v>
      </c>
    </row>
    <row r="73" spans="1:9" ht="15" x14ac:dyDescent="0.25">
      <c r="A73" s="1" t="s">
        <v>144</v>
      </c>
      <c r="B73" s="2">
        <f>HYPERLINK("https://www.omim.org/entry/248611",248611)</f>
        <v>248611</v>
      </c>
      <c r="C73" s="3">
        <f>HYPERLINK("https://www.omim.org/entry/620698",620698)</f>
        <v>620698</v>
      </c>
      <c r="I73" s="6" t="s">
        <v>145</v>
      </c>
    </row>
    <row r="74" spans="1:9" ht="15" x14ac:dyDescent="0.25">
      <c r="A74" s="1" t="s">
        <v>146</v>
      </c>
      <c r="B74" s="2">
        <f>HYPERLINK("https://www.omim.org/entry/614901",614901)</f>
        <v>614901</v>
      </c>
      <c r="C74" s="3">
        <f>HYPERLINK("https://www.omim.org/entry/614923",614923)</f>
        <v>614923</v>
      </c>
      <c r="I74" s="6" t="s">
        <v>147</v>
      </c>
    </row>
    <row r="75" spans="1:9" ht="15" x14ac:dyDescent="0.25">
      <c r="A75" s="1" t="s">
        <v>148</v>
      </c>
      <c r="B75" s="2">
        <f>HYPERLINK("https://www.omim.org/entry/603517",603517)</f>
        <v>603517</v>
      </c>
      <c r="C75" s="3">
        <f>HYPERLINK("https://www.omim.org/entry/616098",616098)</f>
        <v>616098</v>
      </c>
      <c r="I75" s="6" t="s">
        <v>149</v>
      </c>
    </row>
    <row r="76" spans="1:9" ht="15" x14ac:dyDescent="0.25">
      <c r="A76" s="17" t="s">
        <v>150</v>
      </c>
      <c r="B76" s="2">
        <f>HYPERLINK("https://www.omim.org/entry/606558",606558)</f>
        <v>606558</v>
      </c>
      <c r="C76" s="3">
        <f>HYPERLINK("https://www.omim.org/entry/618092",618092)</f>
        <v>618092</v>
      </c>
      <c r="I76" s="6" t="s">
        <v>151</v>
      </c>
    </row>
    <row r="77" spans="1:9" ht="15" x14ac:dyDescent="0.25">
      <c r="A77" s="1" t="s">
        <v>152</v>
      </c>
      <c r="B77" s="2">
        <f>HYPERLINK("https://www.omim.org/entry/604515",604515)</f>
        <v>604515</v>
      </c>
      <c r="C77" s="3">
        <f>HYPERLINK("https://www.omim.org/entry/613502",613502)</f>
        <v>613502</v>
      </c>
      <c r="I77" s="6" t="s">
        <v>153</v>
      </c>
    </row>
    <row r="78" spans="1:9" ht="15" x14ac:dyDescent="0.25">
      <c r="A78" s="1" t="s">
        <v>154</v>
      </c>
      <c r="B78" s="2">
        <f>HYPERLINK("https://www.omim.org/entry/164757",164757)</f>
        <v>164757</v>
      </c>
      <c r="C78" s="3">
        <f>HYPERLINK("https://www.omim.org/entry/613707",613707)</f>
        <v>613707</v>
      </c>
      <c r="D78" s="15">
        <f>HYPERLINK("https://www.omim.org/entry/115150",115150)</f>
        <v>115150</v>
      </c>
      <c r="E78" s="15">
        <f>HYPERLINK("https://www.omim.org/entry/613706",613706)</f>
        <v>613706</v>
      </c>
      <c r="I78" s="6" t="s">
        <v>155</v>
      </c>
    </row>
    <row r="79" spans="1:9" ht="15" x14ac:dyDescent="0.25">
      <c r="A79" s="1" t="s">
        <v>156</v>
      </c>
      <c r="B79" s="2">
        <f>HYPERLINK("https://www.omim.org/entry/606158",606158)</f>
        <v>606158</v>
      </c>
      <c r="C79" s="3">
        <f>HYPERLINK("https://www.omim.org/entry/269700",269700)</f>
        <v>269700</v>
      </c>
      <c r="I79" s="6" t="s">
        <v>157</v>
      </c>
    </row>
    <row r="80" spans="1:9" ht="15" x14ac:dyDescent="0.25">
      <c r="A80" s="1" t="s">
        <v>158</v>
      </c>
      <c r="B80" s="2">
        <f>HYPERLINK("https://www.omim.org/entry/606412",606412)</f>
        <v>606412</v>
      </c>
      <c r="C80" s="3">
        <f>HYPERLINK("https://www.omim.org/entry/602522",602522)</f>
        <v>602522</v>
      </c>
      <c r="I80" s="6" t="s">
        <v>159</v>
      </c>
    </row>
    <row r="81" spans="1:9" ht="15" x14ac:dyDescent="0.25">
      <c r="A81" s="1" t="s">
        <v>160</v>
      </c>
      <c r="B81" s="2">
        <f>HYPERLINK("https://www.omim.org/entry/609019",609019)</f>
        <v>609019</v>
      </c>
      <c r="C81" s="3">
        <f>HYPERLINK("https://www.omim.org/entry/253260",253260)</f>
        <v>253260</v>
      </c>
      <c r="I81" s="6" t="s">
        <v>161</v>
      </c>
    </row>
    <row r="82" spans="1:9" ht="15" x14ac:dyDescent="0.25">
      <c r="A82" s="1" t="s">
        <v>162</v>
      </c>
      <c r="B82" s="2">
        <f>HYPERLINK("https://www.omim.org/entry/300300",300300)</f>
        <v>300300</v>
      </c>
      <c r="C82" s="3">
        <f>HYPERLINK("https://www.omim.org/entry/300755",300755)</f>
        <v>300755</v>
      </c>
      <c r="D82" s="15">
        <f>HYPERLINK("https://www.omim.org/entry/307200",307200)</f>
        <v>307200</v>
      </c>
      <c r="I82" s="6" t="s">
        <v>163</v>
      </c>
    </row>
    <row r="83" spans="1:9" ht="15" x14ac:dyDescent="0.25">
      <c r="A83" s="1" t="s">
        <v>164</v>
      </c>
      <c r="B83" s="2">
        <f>HYPERLINK("https://www.omim.org/entry/120550",120550)</f>
        <v>120550</v>
      </c>
      <c r="C83" s="3">
        <f>HYPERLINK("https://www.omim.org/entry/613652",613652)</f>
        <v>613652</v>
      </c>
      <c r="I83" s="6" t="s">
        <v>165</v>
      </c>
    </row>
    <row r="84" spans="1:9" ht="15" x14ac:dyDescent="0.25">
      <c r="A84" s="1" t="s">
        <v>166</v>
      </c>
      <c r="B84" s="2">
        <f>HYPERLINK("https://www.omim.org/entry/120570",120570)</f>
        <v>120570</v>
      </c>
      <c r="C84" s="3">
        <f>HYPERLINK("https://www.omim.org/entry/620321",620321)</f>
        <v>620321</v>
      </c>
      <c r="I84" s="6" t="s">
        <v>167</v>
      </c>
    </row>
    <row r="85" spans="1:9" ht="15" x14ac:dyDescent="0.25">
      <c r="A85" s="1" t="s">
        <v>168</v>
      </c>
      <c r="B85" s="2">
        <f>HYPERLINK("https://www.omim.org/entry/120575",120575)</f>
        <v>120575</v>
      </c>
      <c r="C85" s="3">
        <f>HYPERLINK("https://www.omim.org/entry/620322",620322)</f>
        <v>620322</v>
      </c>
      <c r="I85" s="6" t="s">
        <v>169</v>
      </c>
    </row>
    <row r="86" spans="1:9" ht="15" x14ac:dyDescent="0.25">
      <c r="A86" s="1" t="s">
        <v>170</v>
      </c>
      <c r="B86" s="2">
        <f>HYPERLINK("https://www.omim.org/entry/613927",613927)</f>
        <v>613927</v>
      </c>
      <c r="C86" s="3">
        <f>HYPERLINK("https://www.omim.org/entry/217000",217000)</f>
        <v>217000</v>
      </c>
      <c r="I86" s="6" t="s">
        <v>171</v>
      </c>
    </row>
    <row r="87" spans="1:9" ht="15" x14ac:dyDescent="0.25">
      <c r="A87" s="1" t="s">
        <v>172</v>
      </c>
      <c r="B87" s="2">
        <f>HYPERLINK("https://www.omim.org/entry/120700",120700)</f>
        <v>120700</v>
      </c>
      <c r="C87" s="3">
        <f>HYPERLINK("https://www.omim.org/entry/613779",613779)</f>
        <v>613779</v>
      </c>
      <c r="I87" s="6" t="s">
        <v>173</v>
      </c>
    </row>
    <row r="88" spans="1:9" ht="15" x14ac:dyDescent="0.25">
      <c r="A88" s="1" t="s">
        <v>174</v>
      </c>
      <c r="B88" s="2">
        <f>HYPERLINK("https://www.omim.org/entry/120900",120900)</f>
        <v>120900</v>
      </c>
      <c r="C88" s="3">
        <f>HYPERLINK("https://www.omim.org/entry/609536",609536)</f>
        <v>609536</v>
      </c>
      <c r="I88" s="6" t="s">
        <v>175</v>
      </c>
    </row>
    <row r="89" spans="1:9" ht="15" x14ac:dyDescent="0.25">
      <c r="A89" s="1" t="s">
        <v>176</v>
      </c>
      <c r="B89" s="2">
        <f>HYPERLINK("https://www.omim.org/entry/217050",217050)</f>
        <v>217050</v>
      </c>
      <c r="C89" s="3">
        <f>HYPERLINK("https://www.omim.org/entry/612446",612446)</f>
        <v>612446</v>
      </c>
      <c r="I89" s="6" t="s">
        <v>177</v>
      </c>
    </row>
    <row r="90" spans="1:9" ht="15" x14ac:dyDescent="0.25">
      <c r="A90" s="1" t="s">
        <v>178</v>
      </c>
      <c r="B90" s="2">
        <f>HYPERLINK("https://www.omim.org/entry/217070",217070)</f>
        <v>217070</v>
      </c>
      <c r="C90" s="3">
        <f>HYPERLINK("https://www.omim.org/entry/610102",610102)</f>
        <v>610102</v>
      </c>
      <c r="I90" s="6" t="s">
        <v>179</v>
      </c>
    </row>
    <row r="91" spans="1:9" ht="15" x14ac:dyDescent="0.25">
      <c r="A91" s="1" t="s">
        <v>180</v>
      </c>
      <c r="B91" s="2">
        <f>HYPERLINK("https://www.omim.org/entry/120950",120950)</f>
        <v>120950</v>
      </c>
      <c r="C91" s="3">
        <f>HYPERLINK("https://www.omim.org/entry/613790",613790)</f>
        <v>613790</v>
      </c>
      <c r="I91" s="6" t="s">
        <v>181</v>
      </c>
    </row>
    <row r="92" spans="1:9" ht="15" x14ac:dyDescent="0.25">
      <c r="A92" s="1" t="s">
        <v>182</v>
      </c>
      <c r="B92" s="2">
        <f>HYPERLINK("https://www.omim.org/entry/120960",120960)</f>
        <v>120960</v>
      </c>
      <c r="C92" s="3">
        <f>HYPERLINK("https://www.omim.org/entry/613789",613789)</f>
        <v>613789</v>
      </c>
      <c r="I92" s="6" t="s">
        <v>183</v>
      </c>
    </row>
    <row r="93" spans="1:9" ht="15" x14ac:dyDescent="0.25">
      <c r="A93" s="1" t="s">
        <v>184</v>
      </c>
      <c r="B93" s="2">
        <f>HYPERLINK("https://www.omim.org/entry/120940",120940)</f>
        <v>120940</v>
      </c>
      <c r="C93" s="3">
        <f>HYPERLINK("https://www.omim.org/entry/613825",613825)</f>
        <v>613825</v>
      </c>
      <c r="I93" s="6" t="s">
        <v>185</v>
      </c>
    </row>
    <row r="94" spans="1:9" ht="15" x14ac:dyDescent="0.25">
      <c r="A94" s="1" t="s">
        <v>186</v>
      </c>
      <c r="B94" s="2">
        <f>HYPERLINK("https://www.omim.org/entry/611492",611492)</f>
        <v>611492</v>
      </c>
      <c r="C94" s="3">
        <f>HYPERLINK("https://www.omim.org/entry/259730",259730)</f>
        <v>259730</v>
      </c>
      <c r="I94" s="6" t="s">
        <v>187</v>
      </c>
    </row>
    <row r="95" spans="1:9" ht="15" x14ac:dyDescent="0.25">
      <c r="A95" s="1" t="s">
        <v>188</v>
      </c>
      <c r="B95" s="2">
        <f>HYPERLINK("https://www.omim.org/entry/114761",114761)</f>
        <v>114761</v>
      </c>
      <c r="C95" s="3">
        <f>HYPERLINK("https://www.omim.org/entry/615751",615751)</f>
        <v>615751</v>
      </c>
      <c r="I95" s="6" t="s">
        <v>189</v>
      </c>
    </row>
    <row r="96" spans="1:9" ht="15" x14ac:dyDescent="0.25">
      <c r="A96" s="1" t="s">
        <v>190</v>
      </c>
      <c r="B96" s="2">
        <f>HYPERLINK("https://www.omim.org/entry/607314",607314)</f>
        <v>607314</v>
      </c>
      <c r="C96" s="3">
        <f>HYPERLINK("https://www.omim.org/entry/614899",614899)</f>
        <v>614899</v>
      </c>
      <c r="I96" s="6" t="s">
        <v>191</v>
      </c>
    </row>
    <row r="97" spans="1:9" ht="15" x14ac:dyDescent="0.25">
      <c r="A97" s="1" t="s">
        <v>192</v>
      </c>
      <c r="B97" s="2">
        <f>HYPERLINK("https://www.omim.org/entry/114205",114205)</f>
        <v>114205</v>
      </c>
      <c r="C97" s="3">
        <f>HYPERLINK("https://www.omim.org/entry/601005",601005)</f>
        <v>601005</v>
      </c>
      <c r="I97" s="6" t="s">
        <v>193</v>
      </c>
    </row>
    <row r="98" spans="1:9" ht="15" x14ac:dyDescent="0.25">
      <c r="A98" s="1" t="s">
        <v>194</v>
      </c>
      <c r="B98" s="2">
        <f>HYPERLINK("https://www.omim.org/entry/600003",600003)</f>
        <v>600003</v>
      </c>
      <c r="C98" s="3">
        <f>HYPERLINK("https://www.omim.org/entry/611876",611876)</f>
        <v>611876</v>
      </c>
      <c r="I98" s="6" t="s">
        <v>195</v>
      </c>
    </row>
    <row r="99" spans="1:9" ht="15" x14ac:dyDescent="0.25">
      <c r="A99" s="1" t="s">
        <v>196</v>
      </c>
      <c r="B99" s="2">
        <f>HYPERLINK("https://www.omim.org/entry/114010",114010)</f>
        <v>114010</v>
      </c>
      <c r="C99" s="3">
        <f>HYPERLINK("https://www.omim.org/entry/616457",616457)</f>
        <v>616457</v>
      </c>
      <c r="I99" s="6" t="s">
        <v>197</v>
      </c>
    </row>
    <row r="100" spans="1:9" ht="15" x14ac:dyDescent="0.25">
      <c r="A100" s="1" t="s">
        <v>198</v>
      </c>
      <c r="B100" s="2">
        <f>HYPERLINK("https://www.omim.org/entry/114180",114180)</f>
        <v>114180</v>
      </c>
      <c r="C100" s="3">
        <f>HYPERLINK("https://www.omim.org/entry/614916",614916)</f>
        <v>614916</v>
      </c>
      <c r="I100" s="6" t="s">
        <v>199</v>
      </c>
    </row>
    <row r="101" spans="1:9" ht="15" x14ac:dyDescent="0.25">
      <c r="A101" s="1" t="s">
        <v>200</v>
      </c>
      <c r="B101" s="2">
        <f>HYPERLINK("https://www.omim.org/entry/114182",114182)</f>
        <v>114182</v>
      </c>
      <c r="C101" s="3">
        <f>HYPERLINK("https://www.omim.org/entry/616249",616249)</f>
        <v>616249</v>
      </c>
      <c r="I101" s="6" t="s">
        <v>201</v>
      </c>
    </row>
    <row r="102" spans="1:9" ht="30" x14ac:dyDescent="0.25">
      <c r="A102" s="1" t="s">
        <v>202</v>
      </c>
      <c r="B102" s="2">
        <f>HYPERLINK("https://www.omim.org/entry/114183",114183)</f>
        <v>114183</v>
      </c>
      <c r="C102" s="3">
        <f>HYPERLINK("https://www.omim.org/entry/618782",618782)</f>
        <v>618782</v>
      </c>
      <c r="I102" s="16" t="s">
        <v>203</v>
      </c>
    </row>
    <row r="103" spans="1:9" ht="15" x14ac:dyDescent="0.25">
      <c r="A103" s="1" t="s">
        <v>204</v>
      </c>
      <c r="B103" s="2">
        <f>HYPERLINK("https://www.omim.org/entry/607210",607210)</f>
        <v>607210</v>
      </c>
      <c r="C103" s="3">
        <f>HYPERLINK("https://www.omim.org/entry/615206",615206)</f>
        <v>615206</v>
      </c>
      <c r="I103" s="6" t="s">
        <v>205</v>
      </c>
    </row>
    <row r="104" spans="1:9" ht="15" x14ac:dyDescent="0.25">
      <c r="A104" s="1" t="s">
        <v>206</v>
      </c>
      <c r="B104" s="2">
        <f>HYPERLINK("https://www.omim.org/entry/607212",607212)</f>
        <v>607212</v>
      </c>
      <c r="C104" s="3">
        <f>HYPERLINK("https://www.omim.org/entry/212050",212050)</f>
        <v>212050</v>
      </c>
      <c r="I104" s="6" t="s">
        <v>207</v>
      </c>
    </row>
    <row r="105" spans="1:9" ht="15" x14ac:dyDescent="0.25">
      <c r="A105" s="1" t="s">
        <v>208</v>
      </c>
      <c r="B105" s="2">
        <f>HYPERLINK("https://www.omim.org/entry/610859",610859)</f>
        <v>610859</v>
      </c>
      <c r="C105" s="3">
        <f>HYPERLINK("https://www.omim.org/entry/618131",618131)</f>
        <v>618131</v>
      </c>
      <c r="I105" s="6" t="s">
        <v>209</v>
      </c>
    </row>
    <row r="106" spans="1:9" ht="15" x14ac:dyDescent="0.25">
      <c r="A106" s="1" t="s">
        <v>210</v>
      </c>
      <c r="B106" s="2">
        <f>HYPERLINK("https://www.omim.org/entry/601763",601763)</f>
        <v>601763</v>
      </c>
      <c r="C106" s="3">
        <f>HYPERLINK("https://www.omim.org/entry/607271",607271)</f>
        <v>607271</v>
      </c>
      <c r="I106" s="6" t="s">
        <v>211</v>
      </c>
    </row>
    <row r="107" spans="1:9" ht="15" x14ac:dyDescent="0.25">
      <c r="A107" s="1" t="s">
        <v>212</v>
      </c>
      <c r="B107" s="2">
        <f>HYPERLINK("https://www.omim.org/entry/114251",114251)</f>
        <v>114251</v>
      </c>
      <c r="C107" s="3">
        <f>HYPERLINK("https://www.omim.org/entry/611938",611938)</f>
        <v>611938</v>
      </c>
      <c r="I107" s="6" t="s">
        <v>213</v>
      </c>
    </row>
    <row r="108" spans="1:9" ht="15" x14ac:dyDescent="0.25">
      <c r="A108" s="1" t="s">
        <v>214</v>
      </c>
      <c r="B108" s="2">
        <f>HYPERLINK("https://www.omim.org/entry/601199",601199)</f>
        <v>601199</v>
      </c>
      <c r="C108" s="3">
        <f>HYPERLINK("https://www.omim.org/entry/601198",601198)</f>
        <v>601198</v>
      </c>
      <c r="D108" s="15">
        <f>HYPERLINK("https://www.omim.org/entry/239200",239200)</f>
        <v>239200</v>
      </c>
      <c r="I108" s="6" t="s">
        <v>215</v>
      </c>
    </row>
    <row r="109" spans="1:9" ht="15" x14ac:dyDescent="0.25">
      <c r="A109" s="1" t="s">
        <v>216</v>
      </c>
      <c r="B109" s="2">
        <f>HYPERLINK("https://www.omim.org/entry/601047",601047)</f>
        <v>601047</v>
      </c>
      <c r="C109" s="3">
        <f>HYPERLINK("https://www.omim.org/entry/612526",612526)</f>
        <v>612526</v>
      </c>
      <c r="D109" s="15">
        <f>HYPERLINK("https://www.omim.org/entry/615343",615343)</f>
        <v>615343</v>
      </c>
      <c r="E109" s="15">
        <f>HYPERLINK("https://www.omim.org/entry/606721",606721)</f>
        <v>606721</v>
      </c>
      <c r="I109" s="6" t="s">
        <v>217</v>
      </c>
    </row>
    <row r="110" spans="1:9" ht="15" x14ac:dyDescent="0.25">
      <c r="A110" s="1" t="s">
        <v>218</v>
      </c>
      <c r="B110" s="2">
        <f>HYPERLINK("https://www.omim.org/entry/601253",601253)</f>
        <v>601253</v>
      </c>
      <c r="C110" s="3">
        <f>HYPERLINK("https://www.omim.org/entry/611818",611818)</f>
        <v>611818</v>
      </c>
      <c r="I110" s="6" t="s">
        <v>219</v>
      </c>
    </row>
    <row r="111" spans="1:9" ht="15" x14ac:dyDescent="0.25">
      <c r="A111" s="1" t="s">
        <v>220</v>
      </c>
      <c r="B111" s="2">
        <f>HYPERLINK("https://www.omim.org/entry/603198",603198)</f>
        <v>603198</v>
      </c>
      <c r="C111" s="3">
        <f>HYPERLINK("https://www.omim.org/entry/613327",613327)</f>
        <v>613327</v>
      </c>
      <c r="I111" s="6" t="s">
        <v>221</v>
      </c>
    </row>
    <row r="112" spans="1:9" ht="15" x14ac:dyDescent="0.25">
      <c r="A112" s="1" t="s">
        <v>222</v>
      </c>
      <c r="B112" s="2">
        <f>HYPERLINK("https://www.omim.org/entry/609342",609342)</f>
        <v>609342</v>
      </c>
      <c r="C112" s="3">
        <f>HYPERLINK("https://www.omim.org/entry/261000",261000)</f>
        <v>261000</v>
      </c>
      <c r="I112" s="6" t="s">
        <v>223</v>
      </c>
    </row>
    <row r="113" spans="1:9" ht="15" x14ac:dyDescent="0.25">
      <c r="A113" s="1" t="s">
        <v>224</v>
      </c>
      <c r="B113" s="2">
        <f>HYPERLINK("https://www.omim.org/entry/613381",613381)</f>
        <v>613381</v>
      </c>
      <c r="C113" s="3">
        <f>HYPERLINK("https://www.omim.org/entry/236200",236200)</f>
        <v>236200</v>
      </c>
      <c r="I113" s="6" t="s">
        <v>225</v>
      </c>
    </row>
    <row r="114" spans="1:9" ht="15" x14ac:dyDescent="0.25">
      <c r="A114" s="1" t="s">
        <v>226</v>
      </c>
      <c r="B114" s="2">
        <f>HYPERLINK("https://www.omim.org/entry/613798",613798)</f>
        <v>613798</v>
      </c>
      <c r="C114" s="3">
        <f>HYPERLINK("https://www.omim.org/entry/613807",613807)</f>
        <v>613807</v>
      </c>
      <c r="I114" s="6" t="s">
        <v>227</v>
      </c>
    </row>
    <row r="115" spans="1:9" ht="15" x14ac:dyDescent="0.25">
      <c r="A115" s="1" t="s">
        <v>228</v>
      </c>
      <c r="B115" s="2">
        <f>HYPERLINK("https://www.omim.org/entry/613799",613799)</f>
        <v>613799</v>
      </c>
      <c r="C115" s="3">
        <f>HYPERLINK("https://www.omim.org/entry/613808",613808)</f>
        <v>613808</v>
      </c>
      <c r="I115" s="6" t="s">
        <v>229</v>
      </c>
    </row>
    <row r="116" spans="1:9" ht="15" x14ac:dyDescent="0.25">
      <c r="A116" s="1" t="s">
        <v>230</v>
      </c>
      <c r="B116" s="2">
        <f>HYPERLINK("https://www.omim.org/entry/611051",611051)</f>
        <v>611051</v>
      </c>
      <c r="C116" s="3">
        <f>HYPERLINK("https://www.omim.org/entry/607453",607453)</f>
        <v>607453</v>
      </c>
      <c r="I116" s="6" t="s">
        <v>231</v>
      </c>
    </row>
    <row r="117" spans="1:9" ht="15" x14ac:dyDescent="0.25">
      <c r="A117" s="1" t="s">
        <v>232</v>
      </c>
      <c r="B117" s="2">
        <f>HYPERLINK("https://www.omim.org/entry/607752",607752)</f>
        <v>607752</v>
      </c>
      <c r="C117" s="3">
        <f>HYPERLINK("https://www.omim.org/entry/615872",615872)</f>
        <v>615872</v>
      </c>
      <c r="I117" s="6" t="s">
        <v>233</v>
      </c>
    </row>
    <row r="118" spans="1:9" ht="15" x14ac:dyDescent="0.25">
      <c r="A118" s="1" t="s">
        <v>234</v>
      </c>
      <c r="B118" s="2">
        <f>HYPERLINK("https://www.omim.org/entry/107265",107265)</f>
        <v>107265</v>
      </c>
      <c r="C118" s="3">
        <f>HYPERLINK("https://www.omim.org/entry/613493",613493)</f>
        <v>613493</v>
      </c>
      <c r="I118" s="6" t="s">
        <v>235</v>
      </c>
    </row>
    <row r="119" spans="1:9" ht="15" x14ac:dyDescent="0.25">
      <c r="A119" s="1" t="s">
        <v>236</v>
      </c>
      <c r="B119" s="2">
        <f>HYPERLINK("https://www.omim.org/entry/186780",186780)</f>
        <v>186780</v>
      </c>
      <c r="C119" s="3">
        <f>HYPERLINK("https://www.omim.org/entry/610163",610163)</f>
        <v>610163</v>
      </c>
      <c r="I119" s="6" t="s">
        <v>237</v>
      </c>
    </row>
    <row r="120" spans="1:9" ht="15" x14ac:dyDescent="0.25">
      <c r="A120" s="17" t="s">
        <v>238</v>
      </c>
      <c r="B120" s="2">
        <f>HYPERLINK("https://www.omim.org/entry/186711",186711)</f>
        <v>186711</v>
      </c>
      <c r="C120" s="3">
        <f>HYPERLINK("https://www.omim.org/entry/615122",615122)</f>
        <v>615122</v>
      </c>
      <c r="I120" s="6" t="s">
        <v>239</v>
      </c>
    </row>
    <row r="121" spans="1:9" ht="15" x14ac:dyDescent="0.25">
      <c r="A121" s="17" t="s">
        <v>240</v>
      </c>
      <c r="B121" s="2">
        <f>HYPERLINK("https://www.omim.org/entry/186760",186760)</f>
        <v>186760</v>
      </c>
      <c r="C121" s="3">
        <f>HYPERLINK("https://www.omim.org/entry/620901",620901)</f>
        <v>620901</v>
      </c>
      <c r="I121" s="6" t="s">
        <v>241</v>
      </c>
    </row>
    <row r="122" spans="1:9" ht="15" x14ac:dyDescent="0.25">
      <c r="A122" s="1" t="s">
        <v>242</v>
      </c>
      <c r="B122" s="2">
        <f>HYPERLINK("https://www.omim.org/entry/606475",606475)</f>
        <v>606475</v>
      </c>
      <c r="C122" s="3">
        <f>HYPERLINK("https://www.omim.org/entry/613646",613646)</f>
        <v>613646</v>
      </c>
      <c r="I122" s="6" t="s">
        <v>243</v>
      </c>
    </row>
    <row r="123" spans="1:9" ht="15" x14ac:dyDescent="0.25">
      <c r="A123" s="1" t="s">
        <v>244</v>
      </c>
      <c r="B123" s="2">
        <f>HYPERLINK("https://www.omim.org/entry/186790",186790)</f>
        <v>186790</v>
      </c>
      <c r="C123" s="3">
        <f>HYPERLINK("https://www.omim.org/entry/615617",615617)</f>
        <v>615617</v>
      </c>
      <c r="I123" s="6" t="s">
        <v>245</v>
      </c>
    </row>
    <row r="124" spans="1:9" ht="15" x14ac:dyDescent="0.25">
      <c r="A124" s="1" t="s">
        <v>246</v>
      </c>
      <c r="B124" s="2">
        <f>HYPERLINK("https://www.omim.org/entry/186830",186830)</f>
        <v>186830</v>
      </c>
      <c r="C124" s="3">
        <f>HYPERLINK("https://www.omim.org/entry/615615",615615)</f>
        <v>615615</v>
      </c>
      <c r="I124" s="6" t="s">
        <v>247</v>
      </c>
    </row>
    <row r="125" spans="1:9" ht="15" x14ac:dyDescent="0.25">
      <c r="A125" s="1" t="s">
        <v>248</v>
      </c>
      <c r="B125" s="2">
        <f>HYPERLINK("https://www.omim.org/entry/186740",186740)</f>
        <v>186740</v>
      </c>
      <c r="C125" s="3">
        <f>HYPERLINK("https://www.omim.org/entry/615607",615607)</f>
        <v>615607</v>
      </c>
      <c r="I125" s="6" t="s">
        <v>249</v>
      </c>
    </row>
    <row r="126" spans="1:9" ht="15" x14ac:dyDescent="0.25">
      <c r="A126" s="1" t="s">
        <v>250</v>
      </c>
      <c r="B126" s="2">
        <f>HYPERLINK("https://www.omim.org/entry/109535",109535)</f>
        <v>109535</v>
      </c>
      <c r="C126" s="3">
        <f>HYPERLINK("https://www.omim.org/entry/606843",606843)</f>
        <v>606843</v>
      </c>
      <c r="I126" s="6" t="s">
        <v>251</v>
      </c>
    </row>
    <row r="127" spans="1:9" ht="15" x14ac:dyDescent="0.25">
      <c r="A127" s="1" t="s">
        <v>252</v>
      </c>
      <c r="B127" s="2">
        <f>HYPERLINK("https://www.omim.org/entry/300386",300386)</f>
        <v>300386</v>
      </c>
      <c r="C127" s="3">
        <f>HYPERLINK("https://www.omim.org/entry/308230",308230)</f>
        <v>308230</v>
      </c>
      <c r="I127" s="6" t="s">
        <v>253</v>
      </c>
    </row>
    <row r="128" spans="1:9" ht="15" x14ac:dyDescent="0.25">
      <c r="A128" s="17" t="s">
        <v>254</v>
      </c>
      <c r="B128" s="2">
        <f>HYPERLINK("https://www.omim.org/entry/120920",120920)</f>
        <v>120920</v>
      </c>
      <c r="C128" s="3">
        <f>HYPERLINK("https://www.omim.org/entry/612922",612922)</f>
        <v>612922</v>
      </c>
      <c r="I128" s="6" t="s">
        <v>255</v>
      </c>
    </row>
    <row r="129" spans="1:9" ht="15" x14ac:dyDescent="0.25">
      <c r="A129" s="1" t="s">
        <v>256</v>
      </c>
      <c r="B129" s="2">
        <f>HYPERLINK("https://www.omim.org/entry/125240",125240)</f>
        <v>125240</v>
      </c>
      <c r="C129" s="3">
        <f>HYPERLINK("https://www.omim.org/entry/613793",613793)</f>
        <v>613793</v>
      </c>
      <c r="I129" s="6" t="s">
        <v>257</v>
      </c>
    </row>
    <row r="130" spans="1:9" ht="15" x14ac:dyDescent="0.25">
      <c r="A130" s="1" t="s">
        <v>258</v>
      </c>
      <c r="B130" s="2">
        <f>HYPERLINK("https://www.omim.org/entry/107271",107271)</f>
        <v>107271</v>
      </c>
      <c r="C130" s="3">
        <f>HYPERLINK("https://www.omim.org/entry/612300",612300)</f>
        <v>612300</v>
      </c>
      <c r="I130" s="6" t="s">
        <v>259</v>
      </c>
    </row>
    <row r="131" spans="1:9" ht="15" x14ac:dyDescent="0.25">
      <c r="A131" s="1" t="s">
        <v>260</v>
      </c>
      <c r="B131" s="2">
        <f>HYPERLINK("https://www.omim.org/entry/602840",602840)</f>
        <v>602840</v>
      </c>
      <c r="C131" s="3">
        <f>HYPERLINK("https://www.omim.org/entry/618261",618261)</f>
        <v>618261</v>
      </c>
      <c r="I131" s="6" t="s">
        <v>261</v>
      </c>
    </row>
    <row r="132" spans="1:9" ht="15" x14ac:dyDescent="0.25">
      <c r="A132" s="1" t="s">
        <v>262</v>
      </c>
      <c r="B132" s="2">
        <f>HYPERLINK("https://www.omim.org/entry/112205",112205)</f>
        <v>112205</v>
      </c>
      <c r="C132" s="3">
        <f>HYPERLINK("https://www.omim.org/entry/613501",613501)</f>
        <v>613501</v>
      </c>
      <c r="I132" s="6" t="s">
        <v>263</v>
      </c>
    </row>
    <row r="133" spans="1:9" ht="15" x14ac:dyDescent="0.25">
      <c r="A133" s="1" t="s">
        <v>264</v>
      </c>
      <c r="B133" s="2">
        <f>HYPERLINK("https://www.omim.org/entry/147245",147245)</f>
        <v>147245</v>
      </c>
      <c r="C133" s="3">
        <f>HYPERLINK("https://www.omim.org/entry/612692",612692)</f>
        <v>612692</v>
      </c>
      <c r="I133" s="6" t="s">
        <v>265</v>
      </c>
    </row>
    <row r="134" spans="1:9" ht="15" x14ac:dyDescent="0.25">
      <c r="A134" s="1" t="s">
        <v>266</v>
      </c>
      <c r="B134" s="2">
        <f>HYPERLINK("https://www.omim.org/entry/186845",186845)</f>
        <v>186845</v>
      </c>
      <c r="C134" s="3">
        <f>HYPERLINK("https://www.omim.org/entry/613496",613496)</f>
        <v>613496</v>
      </c>
      <c r="I134" s="6" t="s">
        <v>267</v>
      </c>
    </row>
    <row r="135" spans="1:9" ht="15" x14ac:dyDescent="0.25">
      <c r="A135" s="1" t="s">
        <v>268</v>
      </c>
      <c r="B135" s="2">
        <f>HYPERLINK("https://www.omim.org/entry/607393",607393)</f>
        <v>607393</v>
      </c>
      <c r="C135" s="3">
        <f>HYPERLINK("https://www.omim.org/entry/145000",145000)</f>
        <v>145000</v>
      </c>
      <c r="I135" s="6" t="s">
        <v>269</v>
      </c>
    </row>
    <row r="136" spans="1:9" ht="15" x14ac:dyDescent="0.25">
      <c r="A136" s="1" t="s">
        <v>270</v>
      </c>
      <c r="B136" s="2">
        <f>HYPERLINK("https://www.omim.org/entry/609937",609937)</f>
        <v>609937</v>
      </c>
      <c r="C136" s="3">
        <f>HYPERLINK("https://www.omim.org/entry/616910",616910)</f>
        <v>616910</v>
      </c>
      <c r="I136" s="6" t="s">
        <v>271</v>
      </c>
    </row>
    <row r="137" spans="1:9" ht="15" x14ac:dyDescent="0.25">
      <c r="A137" s="1" t="s">
        <v>272</v>
      </c>
      <c r="B137" s="2">
        <f>HYPERLINK("https://www.omim.org/entry/605516",605516)</f>
        <v>605516</v>
      </c>
      <c r="C137" s="3">
        <f>HYPERLINK("https://www.omim.org/entry/601067",601067)</f>
        <v>601067</v>
      </c>
      <c r="D137" s="15">
        <f>HYPERLINK("https://www.omim.org/entry/601386",601386)</f>
        <v>601386</v>
      </c>
      <c r="I137" s="6" t="s">
        <v>273</v>
      </c>
    </row>
    <row r="138" spans="1:9" ht="15" x14ac:dyDescent="0.25">
      <c r="A138" s="1" t="s">
        <v>274</v>
      </c>
      <c r="B138" s="2">
        <f>HYPERLINK("https://www.omim.org/entry/600856",600856)</f>
        <v>600856</v>
      </c>
      <c r="C138" s="3">
        <f>HYPERLINK("https://www.omim.org/entry/614732",614732)</f>
        <v>614732</v>
      </c>
      <c r="I138" s="6" t="s">
        <v>275</v>
      </c>
    </row>
    <row r="139" spans="1:9" ht="15" x14ac:dyDescent="0.25">
      <c r="A139" s="1" t="s">
        <v>276</v>
      </c>
      <c r="B139" s="2">
        <f>HYPERLINK("https://www.omim.org/entry/614591",614591)</f>
        <v>614591</v>
      </c>
      <c r="C139" s="3">
        <f>HYPERLINK("https://www.omim.org/entry/614614",614614)</f>
        <v>614614</v>
      </c>
      <c r="D139" s="15">
        <f>HYPERLINK("https://www.omim.org/entry/618410",618410)</f>
        <v>618410</v>
      </c>
      <c r="I139" s="6" t="s">
        <v>277</v>
      </c>
    </row>
    <row r="140" spans="1:9" ht="15" x14ac:dyDescent="0.25">
      <c r="A140" s="1" t="s">
        <v>278</v>
      </c>
      <c r="B140" s="2">
        <f>HYPERLINK("https://www.omim.org/entry/600749",600749)</f>
        <v>600749</v>
      </c>
      <c r="C140" s="3">
        <f>HYPERLINK("https://www.omim.org/entry/245480",245480)</f>
        <v>245480</v>
      </c>
      <c r="I140" s="6" t="s">
        <v>279</v>
      </c>
    </row>
    <row r="141" spans="1:9" ht="15" x14ac:dyDescent="0.25">
      <c r="A141" s="1" t="s">
        <v>280</v>
      </c>
      <c r="B141" s="2">
        <f>HYPERLINK("https://www.omim.org/entry/615494",615494)</f>
        <v>615494</v>
      </c>
      <c r="C141" s="3">
        <f>HYPERLINK("https://www.omim.org/entry/615500",615500)</f>
        <v>615500</v>
      </c>
      <c r="I141" s="6" t="s">
        <v>281</v>
      </c>
    </row>
    <row r="142" spans="1:9" ht="15" x14ac:dyDescent="0.25">
      <c r="A142" s="1" t="s">
        <v>282</v>
      </c>
      <c r="B142" s="2">
        <f>HYPERLINK("https://www.omim.org/entry/618058",618058)</f>
        <v>618058</v>
      </c>
      <c r="C142" s="3">
        <f>HYPERLINK("https://www.omim.org/entry/618063",618063)</f>
        <v>618063</v>
      </c>
      <c r="I142" s="6" t="s">
        <v>283</v>
      </c>
    </row>
    <row r="143" spans="1:9" ht="15" x14ac:dyDescent="0.25">
      <c r="A143" s="1" t="s">
        <v>284</v>
      </c>
      <c r="B143" s="2">
        <f>HYPERLINK("https://www.omim.org/entry/138470",138470)</f>
        <v>138470</v>
      </c>
      <c r="C143" s="3">
        <f>HYPERLINK("https://www.omim.org/entry/615561",615561)</f>
        <v>615561</v>
      </c>
      <c r="I143" s="6" t="s">
        <v>285</v>
      </c>
    </row>
    <row r="144" spans="1:9" ht="15" x14ac:dyDescent="0.25">
      <c r="A144" s="1" t="s">
        <v>286</v>
      </c>
      <c r="B144" s="2">
        <f>HYPERLINK("https://www.omim.org/entry/134350",134350)</f>
        <v>134350</v>
      </c>
      <c r="C144" s="3">
        <f>HYPERLINK("https://www.omim.org/entry/613912",613912)</f>
        <v>613912</v>
      </c>
      <c r="I144" s="6" t="s">
        <v>287</v>
      </c>
    </row>
    <row r="145" spans="1:9" ht="15" x14ac:dyDescent="0.25">
      <c r="A145" s="1" t="s">
        <v>288</v>
      </c>
      <c r="B145" s="2">
        <f>HYPERLINK("https://www.omim.org/entry/134370",134370)</f>
        <v>134370</v>
      </c>
      <c r="C145" s="3">
        <f>HYPERLINK("https://www.omim.org/entry/609814",609814)</f>
        <v>609814</v>
      </c>
      <c r="D145" s="15">
        <v>235400</v>
      </c>
      <c r="I145" s="6" t="s">
        <v>289</v>
      </c>
    </row>
    <row r="146" spans="1:9" ht="15" x14ac:dyDescent="0.25">
      <c r="A146" s="1" t="s">
        <v>290</v>
      </c>
      <c r="B146" s="2">
        <f>HYPERLINK("https://www.omim.org/entry/134371",134371)</f>
        <v>134371</v>
      </c>
      <c r="C146" s="3">
        <f>HYPERLINK("https://www.omim.org/entry/235400",235400)</f>
        <v>235400</v>
      </c>
      <c r="I146" s="6" t="s">
        <v>291</v>
      </c>
    </row>
    <row r="147" spans="1:9" ht="15" x14ac:dyDescent="0.25">
      <c r="A147" s="1" t="s">
        <v>292</v>
      </c>
      <c r="B147" s="2">
        <f>HYPERLINK("https://www.omim.org/entry/605336",605336)</f>
        <v>605336</v>
      </c>
      <c r="C147" s="3">
        <f>HYPERLINK("https://www.omim.org/entry/235400",235400)</f>
        <v>235400</v>
      </c>
      <c r="I147" s="6" t="s">
        <v>291</v>
      </c>
    </row>
    <row r="148" spans="1:9" ht="15" x14ac:dyDescent="0.25">
      <c r="A148" s="1" t="s">
        <v>293</v>
      </c>
      <c r="B148" s="2">
        <f>HYPERLINK("https://www.omim.org/entry/217030",217030)</f>
        <v>217030</v>
      </c>
      <c r="C148" s="3">
        <f>HYPERLINK("https://www.omim.org/entry/610984",610984)</f>
        <v>610984</v>
      </c>
      <c r="I148" s="6" t="s">
        <v>294</v>
      </c>
    </row>
    <row r="149" spans="1:9" ht="15" x14ac:dyDescent="0.25">
      <c r="A149" s="1" t="s">
        <v>295</v>
      </c>
      <c r="B149" s="2">
        <f>HYPERLINK("https://www.omim.org/entry/300383",300383)</f>
        <v>300383</v>
      </c>
      <c r="C149" s="3">
        <f>HYPERLINK("https://www.omim.org/entry/312060",312060)</f>
        <v>312060</v>
      </c>
      <c r="I149" s="6" t="s">
        <v>296</v>
      </c>
    </row>
    <row r="150" spans="1:9" ht="15" x14ac:dyDescent="0.25">
      <c r="A150" s="1" t="s">
        <v>297</v>
      </c>
      <c r="B150" s="2">
        <f>HYPERLINK("https://www.omim.org/entry/602421",602421)</f>
        <v>602421</v>
      </c>
      <c r="C150" s="3">
        <f>HYPERLINK("https://www.omim.org/entry/219700",219700)</f>
        <v>219700</v>
      </c>
      <c r="I150" s="6" t="s">
        <v>298</v>
      </c>
    </row>
    <row r="151" spans="1:9" ht="15" x14ac:dyDescent="0.25">
      <c r="A151" s="17" t="s">
        <v>299</v>
      </c>
      <c r="B151" s="2">
        <f>HYPERLINK("https://www.omim.org/entry/118490",118490)</f>
        <v>118490</v>
      </c>
      <c r="C151" s="3">
        <f>HYPERLINK("https://www.omim.org/entry/254210",254210)</f>
        <v>254210</v>
      </c>
      <c r="I151" s="6" t="s">
        <v>300</v>
      </c>
    </row>
    <row r="152" spans="1:9" ht="15" x14ac:dyDescent="0.25">
      <c r="A152" s="1" t="s">
        <v>301</v>
      </c>
      <c r="B152" s="2">
        <f>HYPERLINK("https://www.omim.org/entry/100690",100690)</f>
        <v>100690</v>
      </c>
      <c r="C152" s="3">
        <f>HYPERLINK("https://www.omim.org/entry/608930",608930)</f>
        <v>608930</v>
      </c>
      <c r="I152" s="6" t="s">
        <v>302</v>
      </c>
    </row>
    <row r="153" spans="1:9" ht="15" x14ac:dyDescent="0.25">
      <c r="A153" s="1" t="s">
        <v>303</v>
      </c>
      <c r="B153" s="2">
        <f>HYPERLINK("https://www.omim.org/entry/100710",100710)</f>
        <v>100710</v>
      </c>
      <c r="C153" s="3">
        <f>HYPERLINK("https://www.omim.org/entry/616314",616314)</f>
        <v>616314</v>
      </c>
      <c r="D153" s="15">
        <f>HYPERLINK("https://www.omim.org/entry/616313",616313)</f>
        <v>616313</v>
      </c>
      <c r="I153" s="6" t="s">
        <v>304</v>
      </c>
    </row>
    <row r="154" spans="1:9" ht="15" x14ac:dyDescent="0.25">
      <c r="A154" s="1" t="s">
        <v>305</v>
      </c>
      <c r="B154" s="2">
        <f>HYPERLINK("https://www.omim.org/entry/100720",100720)</f>
        <v>100720</v>
      </c>
      <c r="C154" s="3">
        <f>HYPERLINK("https://www.omim.org/entry/616323",616323)</f>
        <v>616323</v>
      </c>
      <c r="D154" s="15">
        <f>HYPERLINK("https://www.omim.org/entry/616322",616322)</f>
        <v>616322</v>
      </c>
      <c r="E154" s="15">
        <f>HYPERLINK("https://www.omim.org/entry/616321",616321)</f>
        <v>616321</v>
      </c>
      <c r="I154" s="6" t="s">
        <v>306</v>
      </c>
    </row>
    <row r="155" spans="1:9" ht="15" x14ac:dyDescent="0.25">
      <c r="A155" s="1" t="s">
        <v>307</v>
      </c>
      <c r="B155" s="2">
        <f>HYPERLINK("https://www.omim.org/entry/100725",100725)</f>
        <v>100725</v>
      </c>
      <c r="C155" s="3">
        <f>HYPERLINK("https://www.omim.org/entry/605809",605809)</f>
        <v>605809</v>
      </c>
      <c r="D155" s="15">
        <f>HYPERLINK("https://www.omim.org/entry/608931",608931)</f>
        <v>608931</v>
      </c>
      <c r="E155" s="15">
        <f>HYPERLINK("https://www.omim.org/entry/616324",616324)</f>
        <v>616324</v>
      </c>
      <c r="I155" s="6" t="s">
        <v>308</v>
      </c>
    </row>
    <row r="156" spans="1:9" ht="15" x14ac:dyDescent="0.25">
      <c r="A156" s="1" t="s">
        <v>309</v>
      </c>
      <c r="B156" s="2">
        <f>HYPERLINK("https://www.omim.org/entry/605564",605564)</f>
        <v>605564</v>
      </c>
      <c r="C156" s="3">
        <f>HYPERLINK("https://www.omim.org/entry/609439",609439)</f>
        <v>609439</v>
      </c>
      <c r="I156" s="6" t="s">
        <v>310</v>
      </c>
    </row>
    <row r="157" spans="1:9" ht="15" x14ac:dyDescent="0.25">
      <c r="A157" s="17" t="s">
        <v>311</v>
      </c>
      <c r="B157" s="2">
        <f>HYPERLINK("https://www.omim.org/entry/600005",600005)</f>
        <v>600005</v>
      </c>
      <c r="C157" s="3">
        <f>HYPERLINK("https://www.omim.org/entry/209920",209920)</f>
        <v>209920</v>
      </c>
      <c r="I157" s="6" t="s">
        <v>312</v>
      </c>
    </row>
    <row r="158" spans="1:9" ht="15" x14ac:dyDescent="0.25">
      <c r="A158" s="1" t="s">
        <v>313</v>
      </c>
      <c r="B158" s="2">
        <f>HYPERLINK("https://www.omim.org/entry/602727",602727)</f>
        <v>602727</v>
      </c>
      <c r="C158" s="3">
        <f>HYPERLINK("https://www.omim.org/entry/611490",611490)</f>
        <v>611490</v>
      </c>
      <c r="D158" s="15">
        <f>HYPERLINK("https://www.omim.org/entry/166600",166600)</f>
        <v>166600</v>
      </c>
      <c r="I158" s="6" t="s">
        <v>314</v>
      </c>
    </row>
    <row r="159" spans="1:9" ht="15" x14ac:dyDescent="0.25">
      <c r="A159" s="1" t="s">
        <v>315</v>
      </c>
      <c r="B159" s="2">
        <f>HYPERLINK("https://www.omim.org/entry/602023",602023)</f>
        <v>602023</v>
      </c>
      <c r="C159" s="3">
        <f>HYPERLINK("https://www.omim.org/entry/607364",607364)</f>
        <v>607364</v>
      </c>
      <c r="I159" s="6" t="s">
        <v>316</v>
      </c>
    </row>
    <row r="160" spans="1:9" ht="15" x14ac:dyDescent="0.25">
      <c r="A160" s="1" t="s">
        <v>317</v>
      </c>
      <c r="B160" s="2">
        <f>HYPERLINK("https://www.omim.org/entry/605608",605608)</f>
        <v>605608</v>
      </c>
      <c r="C160" s="3">
        <f>HYPERLINK("https://www.omim.org/entry/614035",614035)</f>
        <v>614035</v>
      </c>
      <c r="I160" s="6" t="s">
        <v>318</v>
      </c>
    </row>
    <row r="161" spans="1:9" ht="15" x14ac:dyDescent="0.25">
      <c r="A161" s="1" t="s">
        <v>319</v>
      </c>
      <c r="B161" s="2">
        <f>HYPERLINK("https://www.omim.org/entry/601119",601119)</f>
        <v>601119</v>
      </c>
      <c r="C161" s="3">
        <f>HYPERLINK("https://www.omim.org/entry/614129",614129)</f>
        <v>614129</v>
      </c>
      <c r="I161" s="6" t="s">
        <v>320</v>
      </c>
    </row>
    <row r="162" spans="1:9" ht="15" x14ac:dyDescent="0.25">
      <c r="A162" s="1" t="s">
        <v>321</v>
      </c>
      <c r="B162" s="2">
        <f>HYPERLINK("https://www.omim.org/entry/606397",606397)</f>
        <v>606397</v>
      </c>
      <c r="C162" s="3">
        <f>HYPERLINK("https://www.omim.org/entry/276902",276902)</f>
        <v>276902</v>
      </c>
      <c r="I162" s="6" t="s">
        <v>322</v>
      </c>
    </row>
    <row r="163" spans="1:9" ht="15" x14ac:dyDescent="0.25">
      <c r="A163" s="1" t="s">
        <v>323</v>
      </c>
      <c r="B163" s="2">
        <f>HYPERLINK("https://www.omim.org/entry/120280",120280)</f>
        <v>120280</v>
      </c>
      <c r="C163" s="3">
        <f>HYPERLINK("https://www.omim.org/entry/604841",604841)</f>
        <v>604841</v>
      </c>
      <c r="D163" s="15">
        <f>HYPERLINK("https://www.omim.org/entry/154780",154780)</f>
        <v>154780</v>
      </c>
      <c r="E163" s="15">
        <f>HYPERLINK("https://www.omim.org/entry/618533",618533)</f>
        <v>618533</v>
      </c>
      <c r="I163" s="6" t="s">
        <v>324</v>
      </c>
    </row>
    <row r="164" spans="1:9" ht="15" x14ac:dyDescent="0.25">
      <c r="A164" s="1" t="s">
        <v>325</v>
      </c>
      <c r="B164" s="2">
        <f>HYPERLINK("https://www.omim.org/entry/120290",120290)</f>
        <v>120290</v>
      </c>
      <c r="C164" s="3">
        <f>HYPERLINK("https://www.omim.org/entry/609706",609706)</f>
        <v>609706</v>
      </c>
      <c r="I164" s="6" t="s">
        <v>326</v>
      </c>
    </row>
    <row r="165" spans="1:9" ht="15" x14ac:dyDescent="0.25">
      <c r="A165" s="1" t="s">
        <v>327</v>
      </c>
      <c r="B165" s="2">
        <f>HYPERLINK("https://www.omim.org/entry/120350",120350)</f>
        <v>120350</v>
      </c>
      <c r="C165" s="3">
        <f>HYPERLINK("https://www.omim.org/entry/616720",616720)</f>
        <v>616720</v>
      </c>
      <c r="I165" s="6" t="s">
        <v>328</v>
      </c>
    </row>
    <row r="166" spans="1:9" ht="15" x14ac:dyDescent="0.25">
      <c r="A166" s="1" t="s">
        <v>329</v>
      </c>
      <c r="B166" s="2">
        <f>HYPERLINK("https://www.omim.org/entry/120150",120150)</f>
        <v>120150</v>
      </c>
      <c r="C166" s="3">
        <f>HYPERLINK("https://www.omim.org/entry/166200",166200)</f>
        <v>166200</v>
      </c>
      <c r="I166" s="6" t="s">
        <v>330</v>
      </c>
    </row>
    <row r="167" spans="1:9" ht="15" x14ac:dyDescent="0.25">
      <c r="A167" s="1" t="s">
        <v>331</v>
      </c>
      <c r="B167" s="2">
        <f>HYPERLINK("https://www.omim.org/entry/120160",120160)</f>
        <v>120160</v>
      </c>
      <c r="C167" s="3">
        <f>HYPERLINK("https://www.omim.org/entry/259420",259420)</f>
        <v>259420</v>
      </c>
      <c r="D167" s="15">
        <f>HYPERLINK("https://www.omim.org/entry/166710",166710)</f>
        <v>166710</v>
      </c>
      <c r="E167" s="15">
        <f>HYPERLINK("https://www.omim.org/entry/617821",617821)</f>
        <v>617821</v>
      </c>
      <c r="F167" s="15">
        <f>HYPERLINK("https://www.omim.org/entry/619120",619120)</f>
        <v>619120</v>
      </c>
      <c r="G167" s="15">
        <f>HYPERLINK("https://www.omim.org/entry/225320",225320)</f>
        <v>225320</v>
      </c>
      <c r="H167" s="18">
        <f>HYPERLINK("https://www.omim.org/entry/166210",166210)</f>
        <v>166210</v>
      </c>
      <c r="I167" s="6" t="s">
        <v>332</v>
      </c>
    </row>
    <row r="168" spans="1:9" ht="15" x14ac:dyDescent="0.25">
      <c r="A168" s="1" t="s">
        <v>333</v>
      </c>
      <c r="B168" s="2">
        <f>HYPERLINK("https://www.omim.org/entry/120180",120180)</f>
        <v>120180</v>
      </c>
      <c r="C168" s="3">
        <f>HYPERLINK("https://www.omim.org/entry/130050",130050)</f>
        <v>130050</v>
      </c>
      <c r="D168" s="15">
        <f>HYPERLINK("https://www.omim.org/entry/618343",618343)</f>
        <v>618343</v>
      </c>
      <c r="I168" s="6" t="s">
        <v>334</v>
      </c>
    </row>
    <row r="169" spans="1:9" ht="15" x14ac:dyDescent="0.25">
      <c r="A169" s="1" t="s">
        <v>335</v>
      </c>
      <c r="B169" s="2">
        <f>HYPERLINK("https://www.omim.org/entry/120070",120070)</f>
        <v>120070</v>
      </c>
      <c r="C169" s="3">
        <f>HYPERLINK("https://www.omim.org/entry/620536",620536)</f>
        <v>620536</v>
      </c>
      <c r="I169" s="6" t="s">
        <v>336</v>
      </c>
    </row>
    <row r="170" spans="1:9" ht="15" x14ac:dyDescent="0.25">
      <c r="A170" s="17" t="s">
        <v>337</v>
      </c>
      <c r="B170" s="2">
        <f>HYPERLINK("https://www.omim.org/entry/120131",120131)</f>
        <v>120131</v>
      </c>
      <c r="C170" s="3">
        <f>HYPERLINK("https://www.omim.org/entry/203780",203780)</f>
        <v>203780</v>
      </c>
      <c r="I170" s="6" t="s">
        <v>338</v>
      </c>
    </row>
    <row r="171" spans="1:9" ht="15" x14ac:dyDescent="0.25">
      <c r="A171" s="1" t="s">
        <v>339</v>
      </c>
      <c r="B171" s="2">
        <f>HYPERLINK("https://www.omim.org/entry/303630",303630)</f>
        <v>303630</v>
      </c>
      <c r="C171" s="3">
        <f>HYPERLINK("https://www.omim.org/entry/301050",301050)</f>
        <v>301050</v>
      </c>
      <c r="I171" s="6" t="s">
        <v>340</v>
      </c>
    </row>
    <row r="172" spans="1:9" ht="15" x14ac:dyDescent="0.25">
      <c r="A172" s="1" t="s">
        <v>341</v>
      </c>
      <c r="B172" s="2">
        <f>HYPERLINK("https://www.omim.org/entry/603033",603033)</f>
        <v>603033</v>
      </c>
      <c r="C172" s="3">
        <f>HYPERLINK("https://www.omim.org/entry/603034",603034)</f>
        <v>603034</v>
      </c>
      <c r="I172" s="6" t="s">
        <v>342</v>
      </c>
    </row>
    <row r="173" spans="1:9" ht="15" x14ac:dyDescent="0.25">
      <c r="A173" s="1" t="s">
        <v>343</v>
      </c>
      <c r="B173" s="2">
        <f>HYPERLINK("https://www.omim.org/entry/601924",601924)</f>
        <v>601924</v>
      </c>
      <c r="C173" s="3">
        <f>HYPERLINK("https://www.omim.org/entry/616414",616414)</f>
        <v>616414</v>
      </c>
      <c r="I173" s="6" t="s">
        <v>344</v>
      </c>
    </row>
    <row r="174" spans="1:9" ht="15" x14ac:dyDescent="0.25">
      <c r="A174" s="1" t="s">
        <v>345</v>
      </c>
      <c r="B174" s="2">
        <f>HYPERLINK("https://www.omim.org/entry/609825",609825)</f>
        <v>609825</v>
      </c>
      <c r="C174" s="3">
        <f>HYPERLINK("https://www.omim.org/entry/607426",607426)</f>
        <v>607426</v>
      </c>
      <c r="I174" s="6" t="s">
        <v>346</v>
      </c>
    </row>
    <row r="175" spans="1:9" ht="15" x14ac:dyDescent="0.25">
      <c r="A175" s="1" t="s">
        <v>347</v>
      </c>
      <c r="B175" s="2">
        <f>HYPERLINK("https://www.omim.org/entry/612898",612898)</f>
        <v>612898</v>
      </c>
      <c r="C175" s="3">
        <f>HYPERLINK("https://www.omim.org/entry/616276",616276)</f>
        <v>616276</v>
      </c>
      <c r="I175" s="6" t="s">
        <v>348</v>
      </c>
    </row>
    <row r="176" spans="1:9" ht="15" x14ac:dyDescent="0.25">
      <c r="A176" s="1" t="s">
        <v>349</v>
      </c>
      <c r="B176" s="2">
        <f>HYPERLINK("https://www.omim.org/entry/616359",616359)</f>
        <v>616359</v>
      </c>
      <c r="C176" s="3">
        <f>HYPERLINK("https://www.omim.org/entry/619028",619028)</f>
        <v>619028</v>
      </c>
      <c r="I176" s="6" t="s">
        <v>350</v>
      </c>
    </row>
    <row r="177" spans="1:9" ht="15" x14ac:dyDescent="0.25">
      <c r="A177" s="1" t="s">
        <v>351</v>
      </c>
      <c r="B177" s="2">
        <f>HYPERLINK("https://www.omim.org/entry/614647",614647)</f>
        <v>614647</v>
      </c>
      <c r="C177" s="3">
        <f>HYPERLINK("https://www.omim.org/entry/614650",614650)</f>
        <v>614650</v>
      </c>
      <c r="I177" s="6" t="s">
        <v>352</v>
      </c>
    </row>
    <row r="178" spans="1:9" ht="15" x14ac:dyDescent="0.25">
      <c r="A178" s="1" t="s">
        <v>353</v>
      </c>
      <c r="B178" s="2">
        <f>HYPERLINK("https://www.omim.org/entry/601683",601683)</f>
        <v>601683</v>
      </c>
      <c r="C178" s="3">
        <f>HYPERLINK("https://www.omim.org/entry/616733",616733)</f>
        <v>616733</v>
      </c>
      <c r="I178" s="6" t="s">
        <v>354</v>
      </c>
    </row>
    <row r="179" spans="1:9" ht="15" x14ac:dyDescent="0.25">
      <c r="A179" s="1" t="s">
        <v>355</v>
      </c>
      <c r="B179" s="2">
        <f>HYPERLINK("https://www.omim.org/entry/606980",606980)</f>
        <v>606980</v>
      </c>
      <c r="C179" s="3">
        <f>HYPERLINK("https://www.omim.org/entry/612016",612016)</f>
        <v>612016</v>
      </c>
      <c r="I179" s="6" t="s">
        <v>356</v>
      </c>
    </row>
    <row r="180" spans="1:9" ht="15" x14ac:dyDescent="0.25">
      <c r="A180" s="1" t="s">
        <v>357</v>
      </c>
      <c r="B180" s="2">
        <f>HYPERLINK("https://www.omim.org/entry/615567",615567)</f>
        <v>615567</v>
      </c>
      <c r="C180" s="3">
        <f>HYPERLINK("https://www.omim.org/entry/615573",615573)</f>
        <v>615573</v>
      </c>
      <c r="I180" s="6" t="s">
        <v>358</v>
      </c>
    </row>
    <row r="181" spans="1:9" ht="15" x14ac:dyDescent="0.25">
      <c r="A181" s="1" t="s">
        <v>359</v>
      </c>
      <c r="B181" s="2">
        <f>HYPERLINK("https://www.omim.org/entry/612837",612837)</f>
        <v>612837</v>
      </c>
      <c r="C181" s="3">
        <f>HYPERLINK("https://www.omim.org/entry/614654",614654)</f>
        <v>614654</v>
      </c>
      <c r="I181" s="6" t="s">
        <v>360</v>
      </c>
    </row>
    <row r="182" spans="1:9" ht="15" x14ac:dyDescent="0.25">
      <c r="A182" s="1" t="s">
        <v>361</v>
      </c>
      <c r="B182" s="2">
        <f>HYPERLINK("https://www.omim.org/entry/605000",605000)</f>
        <v>605000</v>
      </c>
      <c r="C182" s="3">
        <f>HYPERLINK("https://www.omim.org/entry/615401",615401)</f>
        <v>615401</v>
      </c>
      <c r="I182" s="6" t="s">
        <v>362</v>
      </c>
    </row>
    <row r="183" spans="1:9" ht="15" x14ac:dyDescent="0.25">
      <c r="A183" s="1" t="s">
        <v>363</v>
      </c>
      <c r="B183" s="2">
        <f>HYPERLINK("https://www.omim.org/entry/608307",608307)</f>
        <v>608307</v>
      </c>
      <c r="C183" s="3">
        <f>HYPERLINK("https://www.omim.org/entry/237300",237300)</f>
        <v>237300</v>
      </c>
      <c r="I183" s="6" t="s">
        <v>364</v>
      </c>
    </row>
    <row r="184" spans="1:9" ht="15" x14ac:dyDescent="0.25">
      <c r="A184" s="1" t="s">
        <v>365</v>
      </c>
      <c r="B184" s="2">
        <f>HYPERLINK("https://www.omim.org/entry/600528",600528)</f>
        <v>600528</v>
      </c>
      <c r="C184" s="3">
        <f>HYPERLINK("https://www.omim.org/entry/255120",255120)</f>
        <v>255120</v>
      </c>
      <c r="I184" s="6" t="s">
        <v>366</v>
      </c>
    </row>
    <row r="185" spans="1:9" ht="15" x14ac:dyDescent="0.25">
      <c r="A185" s="1" t="s">
        <v>367</v>
      </c>
      <c r="B185" s="2">
        <f>HYPERLINK("https://www.omim.org/entry/600650",600650)</f>
        <v>600650</v>
      </c>
      <c r="C185" s="3">
        <f>HYPERLINK("https://www.omim.org/entry/600649",600649)</f>
        <v>600649</v>
      </c>
      <c r="D185" s="15">
        <f>HYPERLINK("https://www.omim.org/entry/608836",608836)</f>
        <v>608836</v>
      </c>
      <c r="E185" s="15">
        <f>HYPERLINK("https://www.omim.org/entry/255110",255110)</f>
        <v>255110</v>
      </c>
      <c r="I185" s="6" t="s">
        <v>368</v>
      </c>
    </row>
    <row r="186" spans="1:9" ht="15" x14ac:dyDescent="0.25">
      <c r="A186" s="1" t="s">
        <v>369</v>
      </c>
      <c r="B186" s="2">
        <f>HYPERLINK("https://www.omim.org/entry/120650",120650)</f>
        <v>120650</v>
      </c>
      <c r="C186" s="3">
        <f>HYPERLINK("https://www.omim.org/entry/614699",614699)</f>
        <v>614699</v>
      </c>
      <c r="I186" s="6" t="s">
        <v>370</v>
      </c>
    </row>
    <row r="187" spans="1:9" ht="15" x14ac:dyDescent="0.25">
      <c r="A187" s="1" t="s">
        <v>371</v>
      </c>
      <c r="B187" s="2">
        <f>HYPERLINK("https://www.omim.org/entry/306250",306250)</f>
        <v>306250</v>
      </c>
      <c r="C187" s="3">
        <f>HYPERLINK("https://www.omim.org/entry/300770",300770)</f>
        <v>300770</v>
      </c>
      <c r="I187" s="6" t="s">
        <v>372</v>
      </c>
    </row>
    <row r="188" spans="1:9" ht="15" x14ac:dyDescent="0.25">
      <c r="A188" s="1" t="s">
        <v>373</v>
      </c>
      <c r="B188" s="2">
        <f>HYPERLINK("https://www.omim.org/entry/138981",138981)</f>
        <v>138981</v>
      </c>
      <c r="C188" s="3">
        <f>HYPERLINK("https://www.omim.org/entry/614370",614370)</f>
        <v>614370</v>
      </c>
      <c r="I188" s="6" t="s">
        <v>374</v>
      </c>
    </row>
    <row r="189" spans="1:9" ht="15" x14ac:dyDescent="0.25">
      <c r="A189" s="1" t="s">
        <v>375</v>
      </c>
      <c r="B189" s="2">
        <f>HYPERLINK("https://www.omim.org/entry/138971",138971)</f>
        <v>138971</v>
      </c>
      <c r="C189" s="3">
        <f>HYPERLINK("https://www.omim.org/entry/617014",617014)</f>
        <v>617014</v>
      </c>
      <c r="I189" s="6" t="s">
        <v>376</v>
      </c>
    </row>
    <row r="190" spans="1:9" ht="15" x14ac:dyDescent="0.25">
      <c r="A190" s="1" t="s">
        <v>377</v>
      </c>
      <c r="B190" s="2">
        <f>HYPERLINK("https://www.omim.org/entry/123890",123890)</f>
        <v>123890</v>
      </c>
      <c r="C190" s="3">
        <f>HYPERLINK("https://www.omim.org/entry/616100",616100)</f>
        <v>616100</v>
      </c>
      <c r="I190" s="6" t="s">
        <v>378</v>
      </c>
    </row>
    <row r="191" spans="1:9" ht="15" x14ac:dyDescent="0.25">
      <c r="A191" s="1" t="s">
        <v>379</v>
      </c>
      <c r="B191" s="2">
        <f>HYPERLINK("https://www.omim.org/entry/606272",606272)</f>
        <v>606272</v>
      </c>
      <c r="C191" s="3">
        <f>HYPERLINK("https://www.omim.org/entry/219800",219800)</f>
        <v>219800</v>
      </c>
      <c r="D191" s="15">
        <f>HYPERLINK("https://www.omim.org/entry/219750",219750)</f>
        <v>219750</v>
      </c>
      <c r="E191" s="15">
        <f>HYPERLINK("https://www.omim.org/entry/219900",219900)</f>
        <v>219900</v>
      </c>
      <c r="I191" s="6" t="s">
        <v>380</v>
      </c>
    </row>
    <row r="192" spans="1:9" ht="15" x14ac:dyDescent="0.25">
      <c r="A192" s="1" t="s">
        <v>381</v>
      </c>
      <c r="B192" s="2">
        <f>HYPERLINK("https://www.omim.org/entry/123860",123860)</f>
        <v>123860</v>
      </c>
      <c r="C192" s="3">
        <f>HYPERLINK("https://www.omim.org/entry/615897",615897)</f>
        <v>615897</v>
      </c>
      <c r="I192" s="6" t="s">
        <v>382</v>
      </c>
    </row>
    <row r="193" spans="1:9" ht="15" x14ac:dyDescent="0.25">
      <c r="A193" s="1" t="s">
        <v>383</v>
      </c>
      <c r="B193" s="2">
        <f>HYPERLINK("https://www.omim.org/entry/602365",602365)</f>
        <v>602365</v>
      </c>
      <c r="C193" s="3">
        <f>HYPERLINK("https://www.omim.org/entry/245010",245010)</f>
        <v>245010</v>
      </c>
      <c r="D193" s="15">
        <f>HYPERLINK("https://www.omim.org/entry/245000",245000)</f>
        <v>245000</v>
      </c>
      <c r="I193" s="6" t="s">
        <v>384</v>
      </c>
    </row>
    <row r="194" spans="1:9" ht="15" x14ac:dyDescent="0.25">
      <c r="A194" s="1" t="s">
        <v>385</v>
      </c>
      <c r="B194" s="2">
        <f>HYPERLINK("https://www.omim.org/entry/601105",601105)</f>
        <v>601105</v>
      </c>
      <c r="C194" s="3">
        <f>HYPERLINK("https://www.omim.org/entry/265800",265800)</f>
        <v>265800</v>
      </c>
      <c r="I194" s="6" t="s">
        <v>386</v>
      </c>
    </row>
    <row r="195" spans="1:9" ht="15" x14ac:dyDescent="0.25">
      <c r="A195" s="1" t="s">
        <v>387</v>
      </c>
      <c r="B195" s="2">
        <f>HYPERLINK("https://www.omim.org/entry/602997",602997)</f>
        <v>602997</v>
      </c>
      <c r="C195" s="3">
        <f>HYPERLINK("https://www.omim.org/entry/261100",261100)</f>
        <v>261100</v>
      </c>
      <c r="I195" s="6" t="s">
        <v>388</v>
      </c>
    </row>
    <row r="196" spans="1:9" ht="15" x14ac:dyDescent="0.25">
      <c r="A196" s="1" t="s">
        <v>389</v>
      </c>
      <c r="B196" s="2">
        <f>HYPERLINK("https://www.omim.org/entry/603136",603136)</f>
        <v>603136</v>
      </c>
      <c r="C196" s="3">
        <f>HYPERLINK("https://www.omim.org/entry/614496",614496)</f>
        <v>614496</v>
      </c>
      <c r="I196" s="6" t="s">
        <v>390</v>
      </c>
    </row>
    <row r="197" spans="1:9" ht="15" x14ac:dyDescent="0.25">
      <c r="A197" s="1" t="s">
        <v>391</v>
      </c>
      <c r="B197" s="2">
        <f>HYPERLINK("https://www.omim.org/entry/162643",162643)</f>
        <v>162643</v>
      </c>
      <c r="C197" s="3">
        <f>HYPERLINK("https://www.omim.org/entry/193670",193670)</f>
        <v>193670</v>
      </c>
      <c r="I197" s="6" t="s">
        <v>392</v>
      </c>
    </row>
    <row r="198" spans="1:9" ht="15" x14ac:dyDescent="0.25">
      <c r="A198" s="1" t="s">
        <v>393</v>
      </c>
      <c r="B198" s="2">
        <f>HYPERLINK("https://www.omim.org/entry/608508",608508)</f>
        <v>608508</v>
      </c>
      <c r="C198" s="3">
        <f>HYPERLINK("https://www.omim.org/entry/233690",233690)</f>
        <v>233690</v>
      </c>
      <c r="I198" s="6" t="s">
        <v>394</v>
      </c>
    </row>
    <row r="199" spans="1:9" ht="15" x14ac:dyDescent="0.25">
      <c r="A199" s="1" t="s">
        <v>395</v>
      </c>
      <c r="B199" s="2">
        <f>HYPERLINK("https://www.omim.org/entry/300481",300481)</f>
        <v>300481</v>
      </c>
      <c r="C199" s="3">
        <f>HYPERLINK("https://www.omim.org/entry/306400",306400)</f>
        <v>306400</v>
      </c>
      <c r="I199" s="6" t="s">
        <v>396</v>
      </c>
    </row>
    <row r="200" spans="1:9" ht="15" x14ac:dyDescent="0.25">
      <c r="A200" s="1" t="s">
        <v>397</v>
      </c>
      <c r="B200" s="2">
        <f>HYPERLINK("https://www.omim.org/entry/618334",618334)</f>
        <v>618334</v>
      </c>
      <c r="C200" s="3">
        <f>HYPERLINK("https://www.omim.org/entry/618935",618935)</f>
        <v>618935</v>
      </c>
      <c r="I200" s="6" t="s">
        <v>398</v>
      </c>
    </row>
    <row r="201" spans="1:9" ht="15" x14ac:dyDescent="0.25">
      <c r="A201" s="1" t="s">
        <v>399</v>
      </c>
      <c r="B201" s="2">
        <f>HYPERLINK("https://www.omim.org/entry/118485",118485)</f>
        <v>118485</v>
      </c>
      <c r="C201" s="3">
        <f>HYPERLINK("https://www.omim.org/entry/613743",613743)</f>
        <v>613743</v>
      </c>
      <c r="I201" s="6" t="s">
        <v>400</v>
      </c>
    </row>
    <row r="202" spans="1:9" ht="15" x14ac:dyDescent="0.25">
      <c r="A202" s="1" t="s">
        <v>401</v>
      </c>
      <c r="B202" s="2">
        <f>HYPERLINK("https://www.omim.org/entry/610613",610613)</f>
        <v>610613</v>
      </c>
      <c r="C202" s="3">
        <f>HYPERLINK("https://www.omim.org/entry/202010",202010)</f>
        <v>202010</v>
      </c>
      <c r="I202" s="6" t="s">
        <v>402</v>
      </c>
    </row>
    <row r="203" spans="1:9" ht="15" x14ac:dyDescent="0.25">
      <c r="A203" s="1" t="s">
        <v>403</v>
      </c>
      <c r="B203" s="2">
        <f>HYPERLINK("https://www.omim.org/entry/124080",124080)</f>
        <v>124080</v>
      </c>
      <c r="C203" s="3">
        <f>HYPERLINK("https://www.omim.org/entry/203400",203400)</f>
        <v>203400</v>
      </c>
      <c r="I203" s="6" t="s">
        <v>404</v>
      </c>
    </row>
    <row r="204" spans="1:9" ht="15" x14ac:dyDescent="0.25">
      <c r="A204" s="1" t="s">
        <v>405</v>
      </c>
      <c r="B204" s="2">
        <f>HYPERLINK("https://www.omim.org/entry/609300",609300)</f>
        <v>609300</v>
      </c>
      <c r="C204" s="3">
        <f>HYPERLINK("https://www.omim.org/entry/202110",202110)</f>
        <v>202110</v>
      </c>
      <c r="I204" s="6" t="s">
        <v>406</v>
      </c>
    </row>
    <row r="205" spans="1:9" ht="15" x14ac:dyDescent="0.25">
      <c r="A205" s="1" t="s">
        <v>407</v>
      </c>
      <c r="B205" s="2">
        <f>HYPERLINK("https://www.omim.org/entry/613815",613815)</f>
        <v>613815</v>
      </c>
      <c r="C205" s="3">
        <f>HYPERLINK("https://www.omim.org/entry/201910",201910)</f>
        <v>201910</v>
      </c>
      <c r="I205" s="6" t="s">
        <v>408</v>
      </c>
    </row>
    <row r="206" spans="1:9" ht="15" x14ac:dyDescent="0.25">
      <c r="A206" s="1" t="s">
        <v>409</v>
      </c>
      <c r="B206" s="2">
        <f>HYPERLINK("https://www.omim.org/entry/606530",606530)</f>
        <v>606530</v>
      </c>
      <c r="C206" s="3">
        <f>HYPERLINK("https://www.omim.org/entry/213700",213700)</f>
        <v>213700</v>
      </c>
      <c r="I206" s="6" t="s">
        <v>410</v>
      </c>
    </row>
    <row r="207" spans="1:9" ht="15" x14ac:dyDescent="0.25">
      <c r="A207" s="1" t="s">
        <v>411</v>
      </c>
      <c r="B207" s="2">
        <f>HYPERLINK("https://www.omim.org/entry/609506",609506)</f>
        <v>609506</v>
      </c>
      <c r="C207" s="3">
        <f>HYPERLINK("https://www.omim.org/entry/264700",264700)</f>
        <v>264700</v>
      </c>
      <c r="I207" s="6" t="s">
        <v>412</v>
      </c>
    </row>
    <row r="208" spans="1:9" ht="15" x14ac:dyDescent="0.25">
      <c r="A208" s="1" t="s">
        <v>413</v>
      </c>
      <c r="B208" s="2">
        <f>HYPERLINK("https://www.omim.org/entry/608713",608713)</f>
        <v>608713</v>
      </c>
      <c r="C208" s="3">
        <f>HYPERLINK("https://www.omim.org/entry/600081",600081)</f>
        <v>600081</v>
      </c>
      <c r="I208" s="6" t="s">
        <v>414</v>
      </c>
    </row>
    <row r="209" spans="1:9" ht="15" x14ac:dyDescent="0.25">
      <c r="A209" s="1" t="s">
        <v>415</v>
      </c>
      <c r="B209" s="2">
        <f>HYPERLINK("https://www.omim.org/entry/603711",603711)</f>
        <v>603711</v>
      </c>
      <c r="C209" s="3">
        <f>HYPERLINK("https://www.omim.org/entry/613812",613812)</f>
        <v>613812</v>
      </c>
      <c r="I209" s="6" t="s">
        <v>416</v>
      </c>
    </row>
    <row r="210" spans="1:9" ht="15" x14ac:dyDescent="0.25">
      <c r="A210" s="1" t="s">
        <v>417</v>
      </c>
      <c r="B210" s="2">
        <f>HYPERLINK("https://www.omim.org/entry/609312",609312)</f>
        <v>609312</v>
      </c>
      <c r="C210" s="3">
        <f>HYPERLINK("https://www.omim.org/entry/223360",223360)</f>
        <v>223360</v>
      </c>
      <c r="I210" s="6" t="s">
        <v>418</v>
      </c>
    </row>
    <row r="211" spans="1:9" ht="15" x14ac:dyDescent="0.25">
      <c r="A211" s="1" t="s">
        <v>419</v>
      </c>
      <c r="B211" s="2">
        <f>HYPERLINK("https://www.omim.org/entry/248610",248610)</f>
        <v>248610</v>
      </c>
      <c r="C211" s="3">
        <f>HYPERLINK("https://www.omim.org/entry/620699",620699)</f>
        <v>620699</v>
      </c>
      <c r="I211" s="6" t="s">
        <v>420</v>
      </c>
    </row>
    <row r="212" spans="1:9" ht="15" x14ac:dyDescent="0.25">
      <c r="A212" s="1" t="s">
        <v>421</v>
      </c>
      <c r="B212" s="2">
        <f>HYPERLINK("https://www.omim.org/entry/605988",605988)</f>
        <v>605988</v>
      </c>
      <c r="C212" s="3">
        <f>HYPERLINK("https://www.omim.org/entry/602450",602450)</f>
        <v>602450</v>
      </c>
      <c r="D212" s="15">
        <f>HYPERLINK("https://www.omim.org/entry/603554",603554)</f>
        <v>603554</v>
      </c>
      <c r="I212" s="6" t="s">
        <v>422</v>
      </c>
    </row>
    <row r="213" spans="1:9" ht="15" x14ac:dyDescent="0.25">
      <c r="A213" s="1" t="s">
        <v>423</v>
      </c>
      <c r="B213" s="2">
        <f>HYPERLINK("https://www.omim.org/entry/600811",600811)</f>
        <v>600811</v>
      </c>
      <c r="C213" s="3">
        <f>HYPERLINK("https://www.omim.org/entry/278740",278740)</f>
        <v>278740</v>
      </c>
      <c r="I213" s="6" t="s">
        <v>424</v>
      </c>
    </row>
    <row r="214" spans="1:9" ht="15" x14ac:dyDescent="0.25">
      <c r="A214" s="1" t="s">
        <v>425</v>
      </c>
      <c r="B214" s="2">
        <f>HYPERLINK("https://www.omim.org/entry/107930",107930)</f>
        <v>107930</v>
      </c>
      <c r="C214" s="3">
        <f>HYPERLINK("https://www.omim.org/entry/608643",608643)</f>
        <v>608643</v>
      </c>
      <c r="I214" s="6" t="s">
        <v>426</v>
      </c>
    </row>
    <row r="215" spans="1:9" ht="15" x14ac:dyDescent="0.25">
      <c r="A215" s="1" t="s">
        <v>427</v>
      </c>
      <c r="B215" s="2">
        <f>HYPERLINK("https://www.omim.org/entry/604900",604900)</f>
        <v>604900</v>
      </c>
      <c r="C215" s="3">
        <f>HYPERLINK("https://www.omim.org/entry/615863",615863)</f>
        <v>615863</v>
      </c>
      <c r="I215" s="6" t="s">
        <v>428</v>
      </c>
    </row>
    <row r="216" spans="1:9" ht="15" x14ac:dyDescent="0.25">
      <c r="A216" s="1" t="s">
        <v>429</v>
      </c>
      <c r="B216" s="2">
        <f>HYPERLINK("https://www.omim.org/entry/602858",602858)</f>
        <v>602858</v>
      </c>
      <c r="C216" s="3">
        <f>HYPERLINK("https://www.omim.org/entry/270400",270400)</f>
        <v>270400</v>
      </c>
      <c r="I216" s="6" t="s">
        <v>430</v>
      </c>
    </row>
    <row r="217" spans="1:9" ht="15" x14ac:dyDescent="0.25">
      <c r="A217" s="1" t="s">
        <v>431</v>
      </c>
      <c r="B217" s="2">
        <f>HYPERLINK("https://www.omim.org/entry/126060",126060)</f>
        <v>126060</v>
      </c>
      <c r="C217" s="3">
        <f>HYPERLINK("https://www.omim.org/entry/613839",613839)</f>
        <v>613839</v>
      </c>
      <c r="I217" s="6" t="s">
        <v>432</v>
      </c>
    </row>
    <row r="218" spans="1:9" ht="15" x14ac:dyDescent="0.25">
      <c r="A218" s="1" t="s">
        <v>433</v>
      </c>
      <c r="B218" s="2">
        <f>HYPERLINK("https://www.omim.org/entry/602121",602121)</f>
        <v>602121</v>
      </c>
      <c r="C218" s="3">
        <f>HYPERLINK("https://www.omim.org/entry/124900",124900)</f>
        <v>124900</v>
      </c>
      <c r="D218" s="15">
        <f>HYPERLINK("https://www.omim.org/entry/616632",616632)</f>
        <v>616632</v>
      </c>
      <c r="I218" s="6" t="s">
        <v>434</v>
      </c>
    </row>
    <row r="219" spans="1:9" ht="15" x14ac:dyDescent="0.25">
      <c r="A219" s="1" t="s">
        <v>435</v>
      </c>
      <c r="B219" s="2">
        <f>HYPERLINK("https://www.omim.org/entry/147892",147892)</f>
        <v>147892</v>
      </c>
      <c r="C219" s="3">
        <f>HYPERLINK("https://www.omim.org/entry/619855",619855)</f>
        <v>619855</v>
      </c>
      <c r="I219" s="6" t="s">
        <v>436</v>
      </c>
    </row>
    <row r="220" spans="1:9" ht="15" x14ac:dyDescent="0.25">
      <c r="A220" s="1" t="s">
        <v>437</v>
      </c>
      <c r="B220" s="2">
        <f>HYPERLINK("https://www.omim.org/entry/300126",300126)</f>
        <v>300126</v>
      </c>
      <c r="C220" s="3">
        <f>HYPERLINK("https://www.omim.org/entry/305000",305000)</f>
        <v>305000</v>
      </c>
      <c r="I220" s="6" t="s">
        <v>438</v>
      </c>
    </row>
    <row r="221" spans="1:9" ht="15" x14ac:dyDescent="0.25">
      <c r="A221" s="1" t="s">
        <v>439</v>
      </c>
      <c r="B221" s="2">
        <f>HYPERLINK("https://www.omim.org/entry/608770",608770)</f>
        <v>608770</v>
      </c>
      <c r="C221" s="3">
        <f>HYPERLINK("https://www.omim.org/entry/245348",245348)</f>
        <v>245348</v>
      </c>
      <c r="I221" s="6" t="s">
        <v>440</v>
      </c>
    </row>
    <row r="222" spans="1:9" ht="15" x14ac:dyDescent="0.25">
      <c r="A222" s="1" t="s">
        <v>441</v>
      </c>
      <c r="B222" s="2">
        <f>HYPERLINK("https://www.omim.org/entry/238331",238331)</f>
        <v>238331</v>
      </c>
      <c r="C222" s="3">
        <f>HYPERLINK("https://www.omim.org/entry/246900",246900)</f>
        <v>246900</v>
      </c>
      <c r="I222" s="6" t="s">
        <v>442</v>
      </c>
    </row>
    <row r="223" spans="1:9" ht="15" x14ac:dyDescent="0.25">
      <c r="A223" s="1" t="s">
        <v>443</v>
      </c>
      <c r="B223" s="2">
        <f>HYPERLINK("https://www.omim.org/entry/300377",300377)</f>
        <v>300377</v>
      </c>
      <c r="C223" s="3">
        <f>HYPERLINK("https://www.omim.org/entry/300376",300376)</f>
        <v>300376</v>
      </c>
      <c r="I223" s="6" t="s">
        <v>444</v>
      </c>
    </row>
    <row r="224" spans="1:9" ht="15" x14ac:dyDescent="0.25">
      <c r="A224" s="1" t="s">
        <v>445</v>
      </c>
      <c r="B224" s="2">
        <f>HYPERLINK("https://www.omim.org/entry/600980",600980)</f>
        <v>600980</v>
      </c>
      <c r="C224" s="3">
        <f>HYPERLINK("https://www.omim.org/entry/241520",241520)</f>
        <v>241520</v>
      </c>
      <c r="I224" s="6" t="s">
        <v>446</v>
      </c>
    </row>
    <row r="225" spans="1:9" ht="15" x14ac:dyDescent="0.25">
      <c r="A225" s="1" t="s">
        <v>447</v>
      </c>
      <c r="B225" s="2">
        <f>HYPERLINK("https://www.omim.org/entry/613190",613190)</f>
        <v>613190</v>
      </c>
      <c r="C225" s="3">
        <f>HYPERLINK("https://www.omim.org/entry/613193",613193)</f>
        <v>613193</v>
      </c>
      <c r="I225" s="6" t="s">
        <v>448</v>
      </c>
    </row>
    <row r="226" spans="1:9" ht="15" x14ac:dyDescent="0.25">
      <c r="A226" s="1" t="s">
        <v>449</v>
      </c>
      <c r="B226" s="2">
        <f>HYPERLINK("https://www.omim.org/entry/614930",614930)</f>
        <v>614930</v>
      </c>
      <c r="C226" s="3">
        <f>HYPERLINK("https://www.omim.org/entry/614935",614935)</f>
        <v>614935</v>
      </c>
      <c r="I226" s="6" t="s">
        <v>450</v>
      </c>
    </row>
    <row r="227" spans="1:9" ht="15" x14ac:dyDescent="0.25">
      <c r="A227" s="1" t="s">
        <v>451</v>
      </c>
      <c r="B227" s="2">
        <f>HYPERLINK("https://www.omim.org/entry/614677",614677)</f>
        <v>614677</v>
      </c>
      <c r="C227" s="19">
        <f>HYPERLINK("https://www.omim.org/entry/614679",614679)</f>
        <v>614679</v>
      </c>
      <c r="I227" s="6" t="s">
        <v>452</v>
      </c>
    </row>
    <row r="228" spans="1:9" ht="15" x14ac:dyDescent="0.25">
      <c r="A228" s="1" t="s">
        <v>453</v>
      </c>
      <c r="B228" s="2">
        <f>HYPERLINK("https://www.omim.org/entry/612517",612517)</f>
        <v>612517</v>
      </c>
      <c r="C228" s="3">
        <f>HYPERLINK("https://www.omim.org/entry/612518",612518)</f>
        <v>612518</v>
      </c>
      <c r="I228" s="6" t="s">
        <v>454</v>
      </c>
    </row>
    <row r="229" spans="1:9" ht="15" x14ac:dyDescent="0.25">
      <c r="A229" s="1" t="s">
        <v>455</v>
      </c>
      <c r="B229" s="2">
        <f>HYPERLINK("https://www.omim.org/entry/614566",614566)</f>
        <v>614566</v>
      </c>
      <c r="C229" s="3">
        <f>HYPERLINK("https://www.omim.org/entry/606763",606763)</f>
        <v>606763</v>
      </c>
      <c r="I229" s="6" t="s">
        <v>456</v>
      </c>
    </row>
    <row r="230" spans="1:9" ht="15" x14ac:dyDescent="0.25">
      <c r="A230" s="1" t="s">
        <v>457</v>
      </c>
      <c r="B230" s="2">
        <f>HYPERLINK("https://www.omim.org/entry/608706",608706)</f>
        <v>608706</v>
      </c>
      <c r="C230" s="3">
        <f>HYPERLINK("https://www.omim.org/entry/615482",615482)</f>
        <v>615482</v>
      </c>
      <c r="I230" s="6" t="s">
        <v>458</v>
      </c>
    </row>
    <row r="231" spans="1:9" ht="15" x14ac:dyDescent="0.25">
      <c r="A231" s="1" t="s">
        <v>459</v>
      </c>
      <c r="B231" s="2">
        <f>HYPERLINK("https://www.omim.org/entry/614864",614864)</f>
        <v>614864</v>
      </c>
      <c r="C231" s="3">
        <f>HYPERLINK("https://www.omim.org/entry/614874",614874)</f>
        <v>614874</v>
      </c>
      <c r="I231" s="6" t="s">
        <v>460</v>
      </c>
    </row>
    <row r="232" spans="1:9" ht="15" x14ac:dyDescent="0.25">
      <c r="A232" s="1" t="s">
        <v>461</v>
      </c>
      <c r="B232" s="2">
        <f>HYPERLINK("https://www.omim.org/entry/603339",603339)</f>
        <v>603339</v>
      </c>
      <c r="C232" s="3">
        <f>HYPERLINK("https://www.omim.org/entry/611884",611884)</f>
        <v>611884</v>
      </c>
      <c r="I232" s="6" t="s">
        <v>462</v>
      </c>
    </row>
    <row r="233" spans="1:9" ht="15" x14ac:dyDescent="0.25">
      <c r="A233" s="1" t="s">
        <v>463</v>
      </c>
      <c r="B233" s="2">
        <f>HYPERLINK("https://www.omim.org/entry/603335",603335)</f>
        <v>603335</v>
      </c>
      <c r="C233" s="3">
        <f>HYPERLINK("https://www.omim.org/entry/608644",608644)</f>
        <v>608644</v>
      </c>
      <c r="I233" s="6" t="s">
        <v>464</v>
      </c>
    </row>
    <row r="234" spans="1:9" ht="15" x14ac:dyDescent="0.25">
      <c r="A234" s="1" t="s">
        <v>465</v>
      </c>
      <c r="B234" s="2">
        <f>HYPERLINK("https://www.omim.org/entry/603330",603330)</f>
        <v>603330</v>
      </c>
      <c r="C234" s="3">
        <f>HYPERLINK("https://www.omim.org/entry/618300",618300)</f>
        <v>618300</v>
      </c>
      <c r="I234" s="6" t="s">
        <v>466</v>
      </c>
    </row>
    <row r="235" spans="1:9" ht="15" x14ac:dyDescent="0.25">
      <c r="A235" s="1" t="s">
        <v>467</v>
      </c>
      <c r="B235" s="2">
        <f>HYPERLINK("https://www.omim.org/entry/604366",604366)</f>
        <v>604366</v>
      </c>
      <c r="C235" s="3">
        <f>HYPERLINK("https://www.omim.org/entry/244400",244400)</f>
        <v>244400</v>
      </c>
      <c r="I235" s="6" t="s">
        <v>468</v>
      </c>
    </row>
    <row r="236" spans="1:9" ht="15" x14ac:dyDescent="0.25">
      <c r="A236" s="1" t="s">
        <v>469</v>
      </c>
      <c r="B236" s="2">
        <f>HYPERLINK("https://www.omim.org/entry/605483",605483)</f>
        <v>605483</v>
      </c>
      <c r="C236" s="3">
        <f>HYPERLINK("https://www.omim.org/entry/612444",612444)</f>
        <v>612444</v>
      </c>
      <c r="I236" s="6" t="s">
        <v>470</v>
      </c>
    </row>
    <row r="237" spans="1:9" ht="15" x14ac:dyDescent="0.25">
      <c r="A237" s="1" t="s">
        <v>471</v>
      </c>
      <c r="B237" s="2">
        <f>HYPERLINK("https://www.omim.org/entry/606060",606060)</f>
        <v>606060</v>
      </c>
      <c r="C237" s="3">
        <f>HYPERLINK("https://www.omim.org/entry/617384",617384)</f>
        <v>617384</v>
      </c>
      <c r="I237" s="6" t="s">
        <v>472</v>
      </c>
    </row>
    <row r="238" spans="1:9" ht="15" x14ac:dyDescent="0.25">
      <c r="A238" s="1" t="s">
        <v>473</v>
      </c>
      <c r="B238" s="2">
        <f>HYPERLINK("https://www.omim.org/entry/617048",617048)</f>
        <v>617048</v>
      </c>
      <c r="C238" s="3">
        <f>HYPERLINK("https://www.omim.org/entry/617052",617052)</f>
        <v>617052</v>
      </c>
      <c r="I238" s="6" t="s">
        <v>474</v>
      </c>
    </row>
    <row r="239" spans="1:9" ht="15" x14ac:dyDescent="0.25">
      <c r="A239" s="1" t="s">
        <v>475</v>
      </c>
      <c r="B239" s="2">
        <f>HYPERLINK("https://www.omim.org/entry/610062",610062)</f>
        <v>610062</v>
      </c>
      <c r="C239" s="3">
        <f>HYPERLINK("https://www.omim.org/entry/614017",614017)</f>
        <v>614017</v>
      </c>
      <c r="I239" s="6" t="s">
        <v>476</v>
      </c>
    </row>
    <row r="240" spans="1:9" ht="15" x14ac:dyDescent="0.25">
      <c r="A240" s="1" t="s">
        <v>477</v>
      </c>
      <c r="B240" s="2">
        <f>HYPERLINK("https://www.omim.org/entry/602244",602244)</f>
        <v>602244</v>
      </c>
      <c r="C240" s="3">
        <f>HYPERLINK("https://www.omim.org/entry/614420",614420)</f>
        <v>614420</v>
      </c>
      <c r="I240" s="6" t="s">
        <v>478</v>
      </c>
    </row>
    <row r="241" spans="1:9" ht="15" x14ac:dyDescent="0.25">
      <c r="A241" s="1" t="s">
        <v>479</v>
      </c>
      <c r="B241" s="2">
        <f>HYPERLINK("https://www.omim.org/entry/602900",602900)</f>
        <v>602900</v>
      </c>
      <c r="C241" s="3">
        <f>HYPERLINK("https://www.omim.org/entry/242860",242860)</f>
        <v>242860</v>
      </c>
      <c r="I241" s="6" t="s">
        <v>480</v>
      </c>
    </row>
    <row r="242" spans="1:9" ht="15" x14ac:dyDescent="0.25">
      <c r="A242" s="1" t="s">
        <v>481</v>
      </c>
      <c r="B242" s="2">
        <f>HYPERLINK("https://www.omim.org/entry/603122",603122)</f>
        <v>603122</v>
      </c>
      <c r="C242" s="3">
        <f>HYPERLINK("https://www.omim.org/entry/616433",616433)</f>
        <v>616433</v>
      </c>
      <c r="I242" s="6" t="s">
        <v>482</v>
      </c>
    </row>
    <row r="243" spans="1:9" ht="15" x14ac:dyDescent="0.25">
      <c r="A243" s="1" t="s">
        <v>483</v>
      </c>
      <c r="B243" s="2">
        <f>HYPERLINK("https://www.omim.org/entry/611432",611432)</f>
        <v>611432</v>
      </c>
      <c r="C243" s="3">
        <f>HYPERLINK("https://www.omim.org/entry/243700",243700)</f>
        <v>243700</v>
      </c>
      <c r="I243" s="6" t="s">
        <v>484</v>
      </c>
    </row>
    <row r="244" spans="1:9" ht="15" x14ac:dyDescent="0.25">
      <c r="A244" s="1" t="s">
        <v>485</v>
      </c>
      <c r="B244" s="2">
        <f>HYPERLINK("https://www.omim.org/entry/610285",610285)</f>
        <v>610285</v>
      </c>
      <c r="C244" s="3">
        <f>HYPERLINK("https://www.omim.org/entry/254300",254300)</f>
        <v>254300</v>
      </c>
      <c r="I244" s="6" t="s">
        <v>486</v>
      </c>
    </row>
    <row r="245" spans="1:9" ht="15" x14ac:dyDescent="0.25">
      <c r="A245" s="1" t="s">
        <v>487</v>
      </c>
      <c r="B245" s="2">
        <f>HYPERLINK("https://www.omim.org/entry/615288",615288)</f>
        <v>615288</v>
      </c>
      <c r="C245" s="3">
        <f>HYPERLINK("https://www.omim.org/entry/615294",615294)</f>
        <v>615294</v>
      </c>
      <c r="I245" s="6" t="s">
        <v>488</v>
      </c>
    </row>
    <row r="246" spans="1:9" ht="15" x14ac:dyDescent="0.25">
      <c r="A246" s="1" t="s">
        <v>489</v>
      </c>
      <c r="B246" s="2">
        <f>HYPERLINK("https://www.omim.org/entry/611088",611088)</f>
        <v>611088</v>
      </c>
      <c r="C246" s="19">
        <f>HYPERLINK("https://www.omim.org/entry/615504",615504)</f>
        <v>615504</v>
      </c>
      <c r="I246" s="6" t="s">
        <v>490</v>
      </c>
    </row>
    <row r="247" spans="1:9" ht="15" x14ac:dyDescent="0.25">
      <c r="A247" s="1" t="s">
        <v>491</v>
      </c>
      <c r="B247" s="2">
        <f>HYPERLINK("https://www.omim.org/entry/605178",605178)</f>
        <v>605178</v>
      </c>
      <c r="C247" s="3">
        <f>HYPERLINK("https://www.omim.org/entry/616726",616726)</f>
        <v>616726</v>
      </c>
      <c r="I247" s="6" t="s">
        <v>492</v>
      </c>
    </row>
    <row r="248" spans="1:9" ht="15" x14ac:dyDescent="0.25">
      <c r="A248" s="1" t="s">
        <v>493</v>
      </c>
      <c r="B248" s="2">
        <f>HYPERLINK("https://www.omim.org/entry/606759",606759)</f>
        <v>606759</v>
      </c>
      <c r="C248" s="3">
        <f>HYPERLINK("https://www.omim.org/entry/607200",607200)</f>
        <v>607200</v>
      </c>
      <c r="I248" s="6" t="s">
        <v>494</v>
      </c>
    </row>
    <row r="249" spans="1:9" ht="15" x14ac:dyDescent="0.25">
      <c r="A249" s="1" t="s">
        <v>495</v>
      </c>
      <c r="B249" s="2">
        <f>HYPERLINK("https://www.omim.org/entry/612772",612772)</f>
        <v>612772</v>
      </c>
      <c r="C249" s="3">
        <f>HYPERLINK("https://www.omim.org/entry/274900",274900)</f>
        <v>274900</v>
      </c>
      <c r="I249" s="6" t="s">
        <v>496</v>
      </c>
    </row>
    <row r="250" spans="1:9" ht="15" x14ac:dyDescent="0.25">
      <c r="A250" s="1" t="s">
        <v>497</v>
      </c>
      <c r="B250" s="2">
        <f>HYPERLINK("https://www.omim.org/entry/300451",300451)</f>
        <v>300451</v>
      </c>
      <c r="C250" s="3">
        <f>HYPERLINK("https://www.omim.org/entry/305100",305100)</f>
        <v>305100</v>
      </c>
      <c r="I250" s="6" t="s">
        <v>498</v>
      </c>
    </row>
    <row r="251" spans="1:9" ht="15" x14ac:dyDescent="0.25">
      <c r="A251" s="1" t="s">
        <v>499</v>
      </c>
      <c r="B251" s="2">
        <f>HYPERLINK("https://www.omim.org/entry/604095",604095)</f>
        <v>604095</v>
      </c>
      <c r="C251" s="3">
        <f>HYPERLINK("https://www.omim.org/entry/129490",129490)</f>
        <v>129490</v>
      </c>
      <c r="D251" s="15">
        <f>HYPERLINK("https://www.omim.org/entry/224900",224900)</f>
        <v>224900</v>
      </c>
      <c r="I251" s="6" t="s">
        <v>500</v>
      </c>
    </row>
    <row r="252" spans="1:9" ht="15" x14ac:dyDescent="0.25">
      <c r="A252" s="1" t="s">
        <v>501</v>
      </c>
      <c r="B252" s="2">
        <f>HYPERLINK("https://www.omim.org/entry/606603",606603)</f>
        <v>606603</v>
      </c>
      <c r="C252" s="3">
        <f>HYPERLINK("https://www.omim.org/entry/614941",614941)</f>
        <v>614941</v>
      </c>
      <c r="D252" s="15">
        <f>HYPERLINK("https://www.omim.org/entry/614940",614940)</f>
        <v>614940</v>
      </c>
      <c r="I252" s="6" t="s">
        <v>502</v>
      </c>
    </row>
    <row r="253" spans="1:9" ht="15" x14ac:dyDescent="0.25">
      <c r="A253" s="1" t="s">
        <v>503</v>
      </c>
      <c r="B253" s="2">
        <f>HYPERLINK("https://www.omim.org/entry/131242",131242)</f>
        <v>131242</v>
      </c>
      <c r="C253" s="3">
        <f>HYPERLINK("https://www.omim.org/entry/613265",613265)</f>
        <v>613265</v>
      </c>
      <c r="D253" s="15">
        <f>HYPERLINK("https://www.omim.org/entry/613712",613712)</f>
        <v>613712</v>
      </c>
      <c r="I253" s="6" t="s">
        <v>504</v>
      </c>
    </row>
    <row r="254" spans="1:9" ht="15" x14ac:dyDescent="0.25">
      <c r="A254" s="1" t="s">
        <v>505</v>
      </c>
      <c r="B254" s="2">
        <f>HYPERLINK("https://www.omim.org/entry/131244",131244)</f>
        <v>131244</v>
      </c>
      <c r="C254" s="3">
        <f>HYPERLINK("https://www.omim.org/entry/600155",600155)</f>
        <v>600155</v>
      </c>
      <c r="D254" s="15">
        <f>HYPERLINK("https://www.omim.org/entry/600501",600501)</f>
        <v>600501</v>
      </c>
      <c r="E254" s="15">
        <f>HYPERLINK("https://www.omim.org/entry/277580",277580)</f>
        <v>277580</v>
      </c>
      <c r="I254" s="6" t="s">
        <v>506</v>
      </c>
    </row>
    <row r="255" spans="1:9" ht="15" x14ac:dyDescent="0.25">
      <c r="A255" s="1" t="s">
        <v>507</v>
      </c>
      <c r="B255" s="2">
        <f>HYPERLINK("https://www.omim.org/entry/617538",617538)</f>
        <v>617538</v>
      </c>
      <c r="C255" s="3">
        <f>HYPERLINK("https://www.omim.org/entry/617941",617941)</f>
        <v>617941</v>
      </c>
      <c r="I255" s="6" t="s">
        <v>508</v>
      </c>
    </row>
    <row r="256" spans="1:9" ht="15" x14ac:dyDescent="0.25">
      <c r="A256" s="1" t="s">
        <v>509</v>
      </c>
      <c r="B256" s="2">
        <f>HYPERLINK("https://www.omim.org/entry/604032",604032)</f>
        <v>604032</v>
      </c>
      <c r="C256" s="3">
        <f>HYPERLINK("https://www.omim.org/entry/226980",226980)</f>
        <v>226980</v>
      </c>
      <c r="I256" s="6" t="s">
        <v>510</v>
      </c>
    </row>
    <row r="257" spans="1:9" ht="15" x14ac:dyDescent="0.25">
      <c r="A257" s="1" t="s">
        <v>511</v>
      </c>
      <c r="B257" s="2">
        <f>HYPERLINK("https://www.omim.org/entry/130160",130160)</f>
        <v>130160</v>
      </c>
      <c r="C257" s="3">
        <f>HYPERLINK("https://www.omim.org/entry/123700",123700)</f>
        <v>123700</v>
      </c>
      <c r="I257" s="6" t="s">
        <v>512</v>
      </c>
    </row>
    <row r="258" spans="1:9" ht="15" x14ac:dyDescent="0.25">
      <c r="A258" s="1" t="s">
        <v>513</v>
      </c>
      <c r="B258" s="2">
        <f>HYPERLINK("https://www.omim.org/entry/131195",131195)</f>
        <v>131195</v>
      </c>
      <c r="C258" s="3">
        <f>HYPERLINK("https://www.omim.org/entry/187300",187300)</f>
        <v>187300</v>
      </c>
      <c r="I258" s="6" t="s">
        <v>514</v>
      </c>
    </row>
    <row r="259" spans="1:9" ht="15" x14ac:dyDescent="0.25">
      <c r="A259" s="1" t="s">
        <v>515</v>
      </c>
      <c r="B259" s="2">
        <f>HYPERLINK("https://www.omim.org/entry/126340",126340)</f>
        <v>126340</v>
      </c>
      <c r="C259" s="3">
        <f>HYPERLINK("https://www.omim.org/entry/278730",278730)</f>
        <v>278730</v>
      </c>
      <c r="I259" s="6" t="s">
        <v>516</v>
      </c>
    </row>
    <row r="260" spans="1:9" ht="15" x14ac:dyDescent="0.25">
      <c r="A260" s="1" t="s">
        <v>517</v>
      </c>
      <c r="B260" s="2">
        <f>HYPERLINK("https://www.omim.org/entry/133510",133510)</f>
        <v>133510</v>
      </c>
      <c r="C260" s="3">
        <f>HYPERLINK("https://www.omim.org/entry/610651",610651)</f>
        <v>610651</v>
      </c>
      <c r="I260" s="6" t="s">
        <v>518</v>
      </c>
    </row>
    <row r="261" spans="1:9" ht="15" x14ac:dyDescent="0.25">
      <c r="A261" s="1" t="s">
        <v>519</v>
      </c>
      <c r="B261" s="2">
        <f>HYPERLINK("https://www.omim.org/entry/133520",133520)</f>
        <v>133520</v>
      </c>
      <c r="C261" s="3">
        <f>HYPERLINK("https://www.omim.org/entry/278760",278760)</f>
        <v>278760</v>
      </c>
      <c r="D261" s="15">
        <f>HYPERLINK("https://www.omim.org/entry/615272",615272)</f>
        <v>615272</v>
      </c>
      <c r="I261" s="6" t="s">
        <v>520</v>
      </c>
    </row>
    <row r="262" spans="1:9" ht="15" x14ac:dyDescent="0.25">
      <c r="A262" s="1" t="s">
        <v>521</v>
      </c>
      <c r="B262" s="2">
        <f>HYPERLINK("https://www.omim.org/entry/133530",133530)</f>
        <v>133530</v>
      </c>
      <c r="C262" s="3">
        <f>HYPERLINK("https://www.omim.org/entry/278780",278780)</f>
        <v>278780</v>
      </c>
      <c r="I262" s="6" t="s">
        <v>522</v>
      </c>
    </row>
    <row r="263" spans="1:9" ht="15" x14ac:dyDescent="0.25">
      <c r="A263" s="1" t="s">
        <v>523</v>
      </c>
      <c r="B263" s="2">
        <f>HYPERLINK("https://www.omim.org/entry/606351",606351)</f>
        <v>606351</v>
      </c>
      <c r="C263" s="3">
        <f>HYPERLINK("https://www.omim.org/entry/609006",609006)</f>
        <v>609006</v>
      </c>
      <c r="D263" s="15">
        <f>HYPERLINK("https://www.omim.org/entry/618632",618632)</f>
        <v>618632</v>
      </c>
      <c r="I263" s="6" t="s">
        <v>524</v>
      </c>
    </row>
    <row r="264" spans="1:9" ht="15" x14ac:dyDescent="0.25">
      <c r="A264" s="1" t="s">
        <v>525</v>
      </c>
      <c r="B264" s="2">
        <f>HYPERLINK("https://www.omim.org/entry/602167",602167)</f>
        <v>602167</v>
      </c>
      <c r="C264" s="3">
        <f>HYPERLINK("https://www.omim.org/entry/608565",608565)</f>
        <v>608565</v>
      </c>
      <c r="I264" s="6" t="s">
        <v>526</v>
      </c>
    </row>
    <row r="265" spans="1:9" ht="15" x14ac:dyDescent="0.25">
      <c r="A265" s="1" t="s">
        <v>527</v>
      </c>
      <c r="B265" s="2">
        <f>HYPERLINK("https://www.omim.org/entry/608053",608053)</f>
        <v>608053</v>
      </c>
      <c r="C265" s="3">
        <f>HYPERLINK("https://www.omim.org/entry/231680",231680)</f>
        <v>231680</v>
      </c>
      <c r="I265" s="6" t="s">
        <v>528</v>
      </c>
    </row>
    <row r="266" spans="1:9" ht="15" x14ac:dyDescent="0.25">
      <c r="A266" s="1" t="s">
        <v>529</v>
      </c>
      <c r="B266" s="2">
        <f>HYPERLINK("https://www.omim.org/entry/130410",130410)</f>
        <v>130410</v>
      </c>
      <c r="C266" s="3">
        <f>HYPERLINK("https://www.omim.org/entry/231680",231680)</f>
        <v>231680</v>
      </c>
      <c r="I266" s="6" t="s">
        <v>530</v>
      </c>
    </row>
    <row r="267" spans="1:9" ht="15" x14ac:dyDescent="0.25">
      <c r="A267" s="17" t="s">
        <v>531</v>
      </c>
      <c r="B267" s="2">
        <f>HYPERLINK("https://www.omim.org/entry/231675",231675)</f>
        <v>231675</v>
      </c>
      <c r="C267" s="3">
        <f>HYPERLINK("https://www.omim.org/entry/231680",231680)</f>
        <v>231680</v>
      </c>
      <c r="I267" s="6" t="s">
        <v>532</v>
      </c>
    </row>
    <row r="268" spans="1:9" ht="15" x14ac:dyDescent="0.25">
      <c r="A268" s="1" t="s">
        <v>533</v>
      </c>
      <c r="B268" s="2">
        <f>HYPERLINK("https://www.omim.org/entry/613872",613872)</f>
        <v>613872</v>
      </c>
      <c r="C268" s="3">
        <f>HYPERLINK("https://www.omim.org/entry/227600",227600)</f>
        <v>227600</v>
      </c>
      <c r="I268" s="6" t="s">
        <v>534</v>
      </c>
    </row>
    <row r="269" spans="1:9" ht="15" x14ac:dyDescent="0.25">
      <c r="A269" s="1" t="s">
        <v>535</v>
      </c>
      <c r="B269" s="2">
        <f>HYPERLINK("https://www.omim.org/entry/134570",134570)</f>
        <v>134570</v>
      </c>
      <c r="C269" s="3">
        <f>HYPERLINK("https://www.omim.org/entry/613225",613225)</f>
        <v>613225</v>
      </c>
      <c r="I269" s="6" t="s">
        <v>536</v>
      </c>
    </row>
    <row r="270" spans="1:9" ht="15" x14ac:dyDescent="0.25">
      <c r="A270" s="1" t="s">
        <v>537</v>
      </c>
      <c r="B270" s="2">
        <f>HYPERLINK("https://www.omim.org/entry/134580",134580)</f>
        <v>134580</v>
      </c>
      <c r="C270" s="3">
        <f>HYPERLINK("https://www.omim.org/entry/613235",613235)</f>
        <v>613235</v>
      </c>
      <c r="I270" s="6" t="s">
        <v>538</v>
      </c>
    </row>
    <row r="271" spans="1:9" ht="15" x14ac:dyDescent="0.25">
      <c r="A271" s="1" t="s">
        <v>539</v>
      </c>
      <c r="B271" s="2">
        <f>HYPERLINK("https://www.omim.org/entry/176930",176930)</f>
        <v>176930</v>
      </c>
      <c r="C271" s="3">
        <f>HYPERLINK("https://www.omim.org/entry/613679",613679)</f>
        <v>613679</v>
      </c>
      <c r="I271" s="6" t="s">
        <v>540</v>
      </c>
    </row>
    <row r="272" spans="1:9" ht="15" x14ac:dyDescent="0.25">
      <c r="A272" s="1" t="s">
        <v>541</v>
      </c>
      <c r="B272" s="2">
        <f>HYPERLINK("https://www.omim.org/entry/612309",612309)</f>
        <v>612309</v>
      </c>
      <c r="C272" s="3">
        <f>HYPERLINK("https://www.omim.org/entry/188055",188055)</f>
        <v>188055</v>
      </c>
      <c r="D272" s="15">
        <f>HYPERLINK("https://www.omim.org/entry/227400",227400)</f>
        <v>227400</v>
      </c>
      <c r="I272" s="6" t="s">
        <v>542</v>
      </c>
    </row>
    <row r="273" spans="1:9" ht="15" x14ac:dyDescent="0.25">
      <c r="A273" s="1" t="s">
        <v>543</v>
      </c>
      <c r="B273" s="2">
        <f>HYPERLINK("https://www.omim.org/entry/613878",613878)</f>
        <v>613878</v>
      </c>
      <c r="C273" s="3">
        <f>HYPERLINK("https://www.omim.org/entry/227500",227500)</f>
        <v>227500</v>
      </c>
      <c r="I273" s="6" t="s">
        <v>544</v>
      </c>
    </row>
    <row r="274" spans="1:9" ht="15" x14ac:dyDescent="0.25">
      <c r="A274" s="1" t="s">
        <v>545</v>
      </c>
      <c r="B274" s="2">
        <f>HYPERLINK("https://www.omim.org/entry/300841",300841)</f>
        <v>300841</v>
      </c>
      <c r="C274" s="3">
        <f>HYPERLINK("https://www.omim.org/entry/306700",306700)</f>
        <v>306700</v>
      </c>
      <c r="I274" s="6" t="s">
        <v>546</v>
      </c>
    </row>
    <row r="275" spans="1:9" ht="15" x14ac:dyDescent="0.25">
      <c r="A275" s="1" t="s">
        <v>547</v>
      </c>
      <c r="B275" s="2">
        <f>HYPERLINK("https://www.omim.org/entry/300746",300746)</f>
        <v>300746</v>
      </c>
      <c r="C275" s="3">
        <f>HYPERLINK("https://www.omim.org/entry/300807",300807)</f>
        <v>300807</v>
      </c>
      <c r="D275" s="15">
        <f>HYPERLINK("https://www.omim.org/entry/306900",306900)</f>
        <v>306900</v>
      </c>
      <c r="I275" s="6" t="s">
        <v>548</v>
      </c>
    </row>
    <row r="276" spans="1:9" ht="15" x14ac:dyDescent="0.25">
      <c r="A276" s="17" t="s">
        <v>549</v>
      </c>
      <c r="B276" s="2">
        <f>HYPERLINK("https://www.omim.org/entry/613871",613871)</f>
        <v>613871</v>
      </c>
      <c r="C276" s="3">
        <f>HYPERLINK("https://www.omim.org/entry/276700",276700)</f>
        <v>276700</v>
      </c>
      <c r="I276" s="6" t="s">
        <v>550</v>
      </c>
    </row>
    <row r="277" spans="1:9" ht="15" x14ac:dyDescent="0.25">
      <c r="A277" s="1" t="s">
        <v>551</v>
      </c>
      <c r="B277" s="2">
        <f>HYPERLINK("https://www.omim.org/entry/615292",615292)</f>
        <v>615292</v>
      </c>
      <c r="C277" s="3">
        <f>HYPERLINK("https://www.omim.org/entry/127000",127000)</f>
        <v>127000</v>
      </c>
      <c r="I277" s="6" t="s">
        <v>552</v>
      </c>
    </row>
    <row r="278" spans="1:9" ht="15" x14ac:dyDescent="0.25">
      <c r="A278" s="1" t="s">
        <v>553</v>
      </c>
      <c r="B278" s="2">
        <f>HYPERLINK("https://www.omim.org/entry/607139",607139)</f>
        <v>607139</v>
      </c>
      <c r="C278" s="3">
        <f>HYPERLINK("https://www.omim.org/entry/227650",227650)</f>
        <v>227650</v>
      </c>
      <c r="I278" s="6" t="s">
        <v>554</v>
      </c>
    </row>
    <row r="279" spans="1:9" ht="15" x14ac:dyDescent="0.25">
      <c r="A279" s="1" t="s">
        <v>555</v>
      </c>
      <c r="B279" s="2">
        <f>HYPERLINK("https://www.omim.org/entry/300515",300515)</f>
        <v>300515</v>
      </c>
      <c r="C279" s="3">
        <f>HYPERLINK("https://www.omim.org/entry/300514",300514)</f>
        <v>300514</v>
      </c>
      <c r="I279" s="6" t="s">
        <v>556</v>
      </c>
    </row>
    <row r="280" spans="1:9" ht="15" x14ac:dyDescent="0.25">
      <c r="A280" s="1" t="s">
        <v>557</v>
      </c>
      <c r="B280" s="2">
        <f>HYPERLINK("https://www.omim.org/entry/613899",613899)</f>
        <v>613899</v>
      </c>
      <c r="C280" s="3">
        <f>HYPERLINK("https://www.omim.org/entry/227645",227645)</f>
        <v>227645</v>
      </c>
      <c r="I280" s="6" t="s">
        <v>558</v>
      </c>
    </row>
    <row r="281" spans="1:9" ht="15" x14ac:dyDescent="0.25">
      <c r="A281" s="1" t="s">
        <v>559</v>
      </c>
      <c r="B281" s="2">
        <f>HYPERLINK("https://www.omim.org/entry/613984",613984)</f>
        <v>613984</v>
      </c>
      <c r="C281" s="3">
        <f>HYPERLINK("https://www.omim.org/entry/227646",227646)</f>
        <v>227646</v>
      </c>
      <c r="I281" s="6" t="s">
        <v>560</v>
      </c>
    </row>
    <row r="282" spans="1:9" ht="15" x14ac:dyDescent="0.25">
      <c r="A282" s="1" t="s">
        <v>561</v>
      </c>
      <c r="B282" s="2">
        <f>HYPERLINK("https://www.omim.org/entry/613976",613976)</f>
        <v>613976</v>
      </c>
      <c r="C282" s="3">
        <f>HYPERLINK("https://www.omim.org/entry/600901",600901)</f>
        <v>600901</v>
      </c>
      <c r="I282" s="6" t="s">
        <v>562</v>
      </c>
    </row>
    <row r="283" spans="1:9" ht="15" x14ac:dyDescent="0.25">
      <c r="A283" s="1" t="s">
        <v>563</v>
      </c>
      <c r="B283" s="2">
        <f>HYPERLINK("https://www.omim.org/entry/613897",613897)</f>
        <v>613897</v>
      </c>
      <c r="C283" s="3">
        <f>HYPERLINK("https://www.omim.org/entry/603467",603467)</f>
        <v>603467</v>
      </c>
      <c r="I283" s="6" t="s">
        <v>564</v>
      </c>
    </row>
    <row r="284" spans="1:9" ht="15" x14ac:dyDescent="0.25">
      <c r="A284" s="1" t="s">
        <v>565</v>
      </c>
      <c r="B284" s="2">
        <f>HYPERLINK("https://www.omim.org/entry/602956",602956)</f>
        <v>602956</v>
      </c>
      <c r="C284" s="3">
        <f>HYPERLINK("https://www.omim.org/entry/614082",614082)</f>
        <v>614082</v>
      </c>
      <c r="I284" s="6" t="s">
        <v>566</v>
      </c>
    </row>
    <row r="285" spans="1:9" ht="15" x14ac:dyDescent="0.25">
      <c r="A285" s="1" t="s">
        <v>567</v>
      </c>
      <c r="B285" s="2">
        <f>HYPERLINK("https://www.omim.org/entry/611360",611360)</f>
        <v>611360</v>
      </c>
      <c r="C285" s="3">
        <f>HYPERLINK("https://www.omim.org/entry/609053",609053)</f>
        <v>609053</v>
      </c>
      <c r="I285" s="6" t="s">
        <v>568</v>
      </c>
    </row>
    <row r="286" spans="1:9" ht="15" x14ac:dyDescent="0.25">
      <c r="A286" s="1" t="s">
        <v>569</v>
      </c>
      <c r="B286" s="2">
        <f>HYPERLINK("https://www.omim.org/entry/608111",608111)</f>
        <v>608111</v>
      </c>
      <c r="C286" s="3">
        <f>HYPERLINK("https://www.omim.org/entry/614083",614083)</f>
        <v>614083</v>
      </c>
      <c r="I286" s="6" t="s">
        <v>570</v>
      </c>
    </row>
    <row r="287" spans="1:9" ht="15" x14ac:dyDescent="0.25">
      <c r="A287" s="1" t="s">
        <v>571</v>
      </c>
      <c r="B287" s="2">
        <f>HYPERLINK("https://www.omim.org/entry/134797",134797)</f>
        <v>134797</v>
      </c>
      <c r="C287" s="3">
        <f>HYPERLINK("https://www.omim.org/entry/154700",154700)</f>
        <v>154700</v>
      </c>
      <c r="I287" s="6" t="s">
        <v>572</v>
      </c>
    </row>
    <row r="288" spans="1:9" ht="15" x14ac:dyDescent="0.25">
      <c r="A288" s="1" t="s">
        <v>573</v>
      </c>
      <c r="B288" s="2">
        <f>HYPERLINK("https://www.omim.org/entry/611570",611570)</f>
        <v>611570</v>
      </c>
      <c r="C288" s="3">
        <f>HYPERLINK("https://www.omim.org/entry/229700",229700)</f>
        <v>229700</v>
      </c>
      <c r="I288" s="6" t="s">
        <v>574</v>
      </c>
    </row>
    <row r="289" spans="1:9" ht="15" x14ac:dyDescent="0.25">
      <c r="A289" s="1" t="s">
        <v>575</v>
      </c>
      <c r="B289" s="2">
        <f>HYPERLINK("https://www.omim.org/entry/613437",613437)</f>
        <v>613437</v>
      </c>
      <c r="C289" s="3">
        <f>HYPERLINK("https://www.omim.org/entry/619164",619164)</f>
        <v>619164</v>
      </c>
      <c r="I289" s="6" t="s">
        <v>576</v>
      </c>
    </row>
    <row r="290" spans="1:9" ht="15" x14ac:dyDescent="0.25">
      <c r="A290" s="1" t="s">
        <v>577</v>
      </c>
      <c r="B290" s="2">
        <f>HYPERLINK("https://www.omim.org/entry/607901",607901)</f>
        <v>607901</v>
      </c>
      <c r="C290" s="3">
        <f>HYPERLINK("https://www.omim.org/entry/612840",612840)</f>
        <v>612840</v>
      </c>
      <c r="I290" s="6" t="s">
        <v>578</v>
      </c>
    </row>
    <row r="291" spans="1:9" ht="15" x14ac:dyDescent="0.25">
      <c r="A291" s="1" t="s">
        <v>579</v>
      </c>
      <c r="B291" s="2">
        <f>HYPERLINK("https://www.omim.org/entry/134820",134820)</f>
        <v>134820</v>
      </c>
      <c r="C291" s="3">
        <f>HYPERLINK("https://www.omim.org/entry/202400",202400)</f>
        <v>202400</v>
      </c>
      <c r="I291" s="6" t="s">
        <v>580</v>
      </c>
    </row>
    <row r="292" spans="1:9" ht="15" x14ac:dyDescent="0.25">
      <c r="A292" s="1" t="s">
        <v>581</v>
      </c>
      <c r="B292" s="2">
        <f>HYPERLINK("https://www.omim.org/entry/134830",134830)</f>
        <v>134830</v>
      </c>
      <c r="C292" s="3">
        <f>HYPERLINK("https://www.omim.org/entry/202400",202400)</f>
        <v>202400</v>
      </c>
      <c r="I292" s="6" t="s">
        <v>582</v>
      </c>
    </row>
    <row r="293" spans="1:9" ht="15" x14ac:dyDescent="0.25">
      <c r="A293" s="1" t="s">
        <v>583</v>
      </c>
      <c r="B293" s="2">
        <f>HYPERLINK("https://www.omim.org/entry/605380",605380)</f>
        <v>605380</v>
      </c>
      <c r="C293" s="3">
        <f>HYPERLINK("https://www.omim.org/entry/617993",617993)</f>
        <v>617993</v>
      </c>
      <c r="I293" s="6" t="s">
        <v>584</v>
      </c>
    </row>
    <row r="294" spans="1:9" ht="15" x14ac:dyDescent="0.25">
      <c r="A294" s="1" t="s">
        <v>585</v>
      </c>
      <c r="B294" s="2">
        <f>HYPERLINK("https://www.omim.org/entry/164950",164950)</f>
        <v>164950</v>
      </c>
      <c r="C294" s="3">
        <f>HYPERLINK("https://www.omim.org/entry/610706",610706)</f>
        <v>610706</v>
      </c>
      <c r="I294" s="6" t="s">
        <v>586</v>
      </c>
    </row>
    <row r="295" spans="1:9" ht="15" x14ac:dyDescent="0.25">
      <c r="A295" s="1" t="s">
        <v>587</v>
      </c>
      <c r="B295" s="2">
        <f>HYPERLINK("https://www.omim.org/entry/134934",134934)</f>
        <v>134934</v>
      </c>
      <c r="C295" s="3">
        <f>HYPERLINK("https://www.omim.org/entry/602849",602849)</f>
        <v>602849</v>
      </c>
      <c r="I295" s="6" t="s">
        <v>588</v>
      </c>
    </row>
    <row r="296" spans="1:9" ht="15" x14ac:dyDescent="0.25">
      <c r="A296" s="1" t="s">
        <v>589</v>
      </c>
      <c r="B296" s="2">
        <f>HYPERLINK("https://www.omim.org/entry/134850",134850)</f>
        <v>134850</v>
      </c>
      <c r="C296" s="3">
        <f>HYPERLINK("https://www.omim.org/entry/202400",202400)</f>
        <v>202400</v>
      </c>
      <c r="I296" s="6" t="s">
        <v>590</v>
      </c>
    </row>
    <row r="297" spans="1:9" ht="15" x14ac:dyDescent="0.25">
      <c r="A297" s="1" t="s">
        <v>591</v>
      </c>
      <c r="B297" s="2">
        <f>HYPERLINK("https://www.omim.org/entry/136850",136850)</f>
        <v>136850</v>
      </c>
      <c r="C297" s="3">
        <f>HYPERLINK("https://www.omim.org/entry/606812",606812)</f>
        <v>606812</v>
      </c>
      <c r="I297" s="6" t="s">
        <v>592</v>
      </c>
    </row>
    <row r="298" spans="1:9" ht="15" x14ac:dyDescent="0.25">
      <c r="A298" s="1" t="s">
        <v>593</v>
      </c>
      <c r="B298" s="2">
        <f>HYPERLINK("https://www.omim.org/entry/610595",610595)</f>
        <v>610595</v>
      </c>
      <c r="C298" s="3">
        <f>HYPERLINK("https://www.omim.org/entry/255100",255100)</f>
        <v>255100</v>
      </c>
      <c r="I298" s="6" t="s">
        <v>594</v>
      </c>
    </row>
    <row r="299" spans="1:9" ht="15" x14ac:dyDescent="0.25">
      <c r="A299" s="1" t="s">
        <v>595</v>
      </c>
      <c r="B299" s="2">
        <f>HYPERLINK("https://www.omim.org/entry/136430",136430)</f>
        <v>136430</v>
      </c>
      <c r="C299" s="3">
        <f>HYPERLINK("https://www.omim.org/entry/613068",613068)</f>
        <v>613068</v>
      </c>
      <c r="I299" s="6" t="s">
        <v>596</v>
      </c>
    </row>
    <row r="300" spans="1:9" ht="15" x14ac:dyDescent="0.25">
      <c r="A300" s="1" t="s">
        <v>597</v>
      </c>
      <c r="B300" s="2">
        <f>HYPERLINK("https://www.omim.org/entry/602617",602617)</f>
        <v>602617</v>
      </c>
      <c r="C300" s="3">
        <f>HYPERLINK("https://www.omim.org/entry/241850",241850)</f>
        <v>241850</v>
      </c>
      <c r="I300" s="6" t="s">
        <v>598</v>
      </c>
    </row>
    <row r="301" spans="1:9" ht="15" x14ac:dyDescent="0.25">
      <c r="A301" s="1" t="s">
        <v>599</v>
      </c>
      <c r="B301" s="2">
        <f>HYPERLINK("https://www.omim.org/entry/602291",602291)</f>
        <v>602291</v>
      </c>
      <c r="C301" s="3">
        <f>HYPERLINK("https://www.omim.org/entry/618699",618699)</f>
        <v>618699</v>
      </c>
      <c r="I301" s="6" t="s">
        <v>600</v>
      </c>
    </row>
    <row r="302" spans="1:9" ht="15" x14ac:dyDescent="0.25">
      <c r="A302" s="1" t="s">
        <v>601</v>
      </c>
      <c r="B302" s="2">
        <f>HYPERLINK("https://www.omim.org/entry/600838",600838)</f>
        <v>600838</v>
      </c>
      <c r="C302" s="3">
        <f>HYPERLINK("https://www.omim.org/entry/618806",618806)</f>
        <v>618806</v>
      </c>
      <c r="D302" s="15">
        <f>HYPERLINK("https://www.omim.org/entry/601705",601705)</f>
        <v>601705</v>
      </c>
      <c r="I302" s="6" t="s">
        <v>602</v>
      </c>
    </row>
    <row r="303" spans="1:9" ht="15" x14ac:dyDescent="0.25">
      <c r="A303" s="1" t="s">
        <v>603</v>
      </c>
      <c r="B303" s="2">
        <f>HYPERLINK("https://www.omim.org/entry/300292",300292)</f>
        <v>300292</v>
      </c>
      <c r="C303" s="3">
        <f>HYPERLINK("https://www.omim.org/entry/304790",304790)</f>
        <v>304790</v>
      </c>
      <c r="I303" s="6" t="s">
        <v>604</v>
      </c>
    </row>
    <row r="304" spans="1:9" ht="15" x14ac:dyDescent="0.25">
      <c r="A304" s="1" t="s">
        <v>605</v>
      </c>
      <c r="B304" s="2">
        <f>HYPERLINK("https://www.omim.org/entry/606806",606806)</f>
        <v>606806</v>
      </c>
      <c r="C304" s="3">
        <f>HYPERLINK("https://www.omim.org/entry/229100",229100)</f>
        <v>229100</v>
      </c>
      <c r="I304" s="6" t="s">
        <v>606</v>
      </c>
    </row>
    <row r="305" spans="1:9" ht="15" x14ac:dyDescent="0.25">
      <c r="A305" s="1" t="s">
        <v>607</v>
      </c>
      <c r="B305" s="2">
        <f>HYPERLINK("https://www.omim.org/entry/613742",613742)</f>
        <v>613742</v>
      </c>
      <c r="C305" s="3">
        <f>HYPERLINK("https://www.omim.org/entry/232200",232200)</f>
        <v>232200</v>
      </c>
      <c r="I305" s="6" t="s">
        <v>608</v>
      </c>
    </row>
    <row r="306" spans="1:9" ht="15" x14ac:dyDescent="0.25">
      <c r="A306" s="1" t="s">
        <v>609</v>
      </c>
      <c r="B306" s="2">
        <f>HYPERLINK("https://www.omim.org/entry/611045",611045)</f>
        <v>611045</v>
      </c>
      <c r="C306" s="3">
        <f>HYPERLINK("https://www.omim.org/entry/612541",612541)</f>
        <v>612541</v>
      </c>
      <c r="I306" s="6" t="s">
        <v>610</v>
      </c>
    </row>
    <row r="307" spans="1:9" ht="15" x14ac:dyDescent="0.25">
      <c r="A307" s="1" t="s">
        <v>611</v>
      </c>
      <c r="B307" s="2">
        <f>HYPERLINK("https://www.omim.org/entry/305900",305900)</f>
        <v>305900</v>
      </c>
      <c r="C307" s="3">
        <f>HYPERLINK("https://www.omim.org/entry/300908",300908)</f>
        <v>300908</v>
      </c>
      <c r="I307" s="6" t="s">
        <v>612</v>
      </c>
    </row>
    <row r="308" spans="1:9" ht="15" x14ac:dyDescent="0.25">
      <c r="A308" s="1" t="s">
        <v>613</v>
      </c>
      <c r="B308" s="2">
        <f>HYPERLINK("https://www.omim.org/entry/606800",606800)</f>
        <v>606800</v>
      </c>
      <c r="C308" s="3">
        <f>HYPERLINK("https://www.omim.org/entry/232300",232300)</f>
        <v>232300</v>
      </c>
      <c r="I308" s="6" t="s">
        <v>614</v>
      </c>
    </row>
    <row r="309" spans="1:9" ht="15" x14ac:dyDescent="0.25">
      <c r="A309" s="1" t="s">
        <v>615</v>
      </c>
      <c r="B309" s="2">
        <f>HYPERLINK("https://www.omim.org/entry/606890",606890)</f>
        <v>606890</v>
      </c>
      <c r="C309" s="3">
        <f>HYPERLINK("https://www.omim.org/entry/245200",245200)</f>
        <v>245200</v>
      </c>
      <c r="I309" s="6" t="s">
        <v>616</v>
      </c>
    </row>
    <row r="310" spans="1:9" ht="15" x14ac:dyDescent="0.25">
      <c r="A310" s="1" t="s">
        <v>617</v>
      </c>
      <c r="B310" s="2">
        <f>HYPERLINK("https://www.omim.org/entry/606953",606953)</f>
        <v>606953</v>
      </c>
      <c r="C310" s="3">
        <f>HYPERLINK("https://www.omim.org/entry/230350",230350)</f>
        <v>230350</v>
      </c>
      <c r="I310" s="6" t="s">
        <v>618</v>
      </c>
    </row>
    <row r="311" spans="1:9" ht="15" x14ac:dyDescent="0.25">
      <c r="A311" s="1" t="s">
        <v>619</v>
      </c>
      <c r="B311" s="2">
        <f>HYPERLINK("https://www.omim.org/entry/604313",604313)</f>
        <v>604313</v>
      </c>
      <c r="C311" s="3">
        <f>HYPERLINK("https://www.omim.org/entry/230200",230200)</f>
        <v>230200</v>
      </c>
      <c r="I311" s="6" t="s">
        <v>620</v>
      </c>
    </row>
    <row r="312" spans="1:9" ht="15" x14ac:dyDescent="0.25">
      <c r="A312" s="1" t="s">
        <v>621</v>
      </c>
      <c r="B312" s="2">
        <f>HYPERLINK("https://www.omim.org/entry/137030",137030)</f>
        <v>137030</v>
      </c>
      <c r="C312" s="3">
        <f>HYPERLINK("https://www.omim.org/entry/618881",618881)</f>
        <v>618881</v>
      </c>
      <c r="I312" s="6" t="s">
        <v>622</v>
      </c>
    </row>
    <row r="313" spans="1:9" ht="15" x14ac:dyDescent="0.25">
      <c r="A313" s="1" t="s">
        <v>623</v>
      </c>
      <c r="B313" s="2">
        <f>HYPERLINK("https://www.omim.org/entry/612222",612222)</f>
        <v>612222</v>
      </c>
      <c r="C313" s="3">
        <f>HYPERLINK("https://www.omim.org/entry/253000",253000)</f>
        <v>253000</v>
      </c>
      <c r="I313" s="6" t="s">
        <v>624</v>
      </c>
    </row>
    <row r="314" spans="1:9" ht="15" x14ac:dyDescent="0.25">
      <c r="A314" s="1" t="s">
        <v>625</v>
      </c>
      <c r="B314" s="2">
        <f>HYPERLINK("https://www.omim.org/entry/601756",601756)</f>
        <v>601756</v>
      </c>
      <c r="C314" s="3">
        <f>HYPERLINK("https://www.omim.org/entry/211900",211900)</f>
        <v>211900</v>
      </c>
      <c r="I314" s="6" t="s">
        <v>626</v>
      </c>
    </row>
    <row r="315" spans="1:9" ht="15" x14ac:dyDescent="0.25">
      <c r="A315" s="1" t="s">
        <v>627</v>
      </c>
      <c r="B315" s="2">
        <f>HYPERLINK("https://www.omim.org/entry/606999",606999)</f>
        <v>606999</v>
      </c>
      <c r="C315" s="3">
        <f>HYPERLINK("https://www.omim.org/entry/230400",230400)</f>
        <v>230400</v>
      </c>
      <c r="I315" s="6" t="s">
        <v>628</v>
      </c>
    </row>
    <row r="316" spans="1:9" ht="15" x14ac:dyDescent="0.25">
      <c r="A316" s="1" t="s">
        <v>629</v>
      </c>
      <c r="B316" s="2">
        <f>HYPERLINK("https://www.omim.org/entry/601240",601240)</f>
        <v>601240</v>
      </c>
      <c r="C316" s="3">
        <f>HYPERLINK("https://www.omim.org/entry/612736",612736)</f>
        <v>612736</v>
      </c>
      <c r="I316" s="6" t="s">
        <v>630</v>
      </c>
    </row>
    <row r="317" spans="1:9" ht="15" x14ac:dyDescent="0.25">
      <c r="A317" s="1" t="s">
        <v>631</v>
      </c>
      <c r="B317" s="2">
        <f>HYPERLINK("https://www.omim.org/entry/137295",137295)</f>
        <v>137295</v>
      </c>
      <c r="C317" s="3">
        <f>HYPERLINK("https://www.omim.org/entry/614172",614172)</f>
        <v>614172</v>
      </c>
      <c r="I317" s="6" t="s">
        <v>632</v>
      </c>
    </row>
    <row r="318" spans="1:9" ht="15" x14ac:dyDescent="0.25">
      <c r="A318" s="1" t="s">
        <v>633</v>
      </c>
      <c r="B318" s="2">
        <f>HYPERLINK("https://www.omim.org/entry/602360",602360)</f>
        <v>602360</v>
      </c>
      <c r="C318" s="3">
        <f>HYPERLINK("https://www.omim.org/entry/612718",612718)</f>
        <v>612718</v>
      </c>
      <c r="I318" s="6" t="s">
        <v>634</v>
      </c>
    </row>
    <row r="319" spans="1:9" ht="15" x14ac:dyDescent="0.25">
      <c r="A319" s="1" t="s">
        <v>635</v>
      </c>
      <c r="B319" s="2">
        <f>HYPERLINK("https://www.omim.org/entry/606463",606463)</f>
        <v>606463</v>
      </c>
      <c r="C319" s="3">
        <f>HYPERLINK("https://www.omim.org/entry/230900",230900)</f>
        <v>230900</v>
      </c>
      <c r="D319" s="15">
        <f>HYPERLINK("https://www.omim.org/entry/231005",231005)</f>
        <v>231005</v>
      </c>
      <c r="E319" s="15">
        <f>HYPERLINK("https://www.omim.org/entry/231000",231000)</f>
        <v>231000</v>
      </c>
      <c r="F319" s="15">
        <f>HYPERLINK("https://www.omim.org/entry/230800",230800)</f>
        <v>230800</v>
      </c>
      <c r="G319" s="15">
        <f>HYPERLINK("https://www.omim.org/entry/608013",608013)</f>
        <v>608013</v>
      </c>
      <c r="I319" s="6" t="s">
        <v>636</v>
      </c>
    </row>
    <row r="320" spans="1:9" ht="15" x14ac:dyDescent="0.25">
      <c r="A320" s="1" t="s">
        <v>637</v>
      </c>
      <c r="B320" s="2">
        <f>HYPERLINK("https://www.omim.org/entry/608801",608801)</f>
        <v>608801</v>
      </c>
      <c r="C320" s="3">
        <f>HYPERLINK("https://www.omim.org/entry/231670",231670)</f>
        <v>231670</v>
      </c>
      <c r="I320" s="6" t="s">
        <v>638</v>
      </c>
    </row>
    <row r="321" spans="1:9" ht="15" x14ac:dyDescent="0.25">
      <c r="A321" s="1" t="s">
        <v>639</v>
      </c>
      <c r="B321" s="2">
        <f>HYPERLINK("https://www.omim.org/entry/600225",600225)</f>
        <v>600225</v>
      </c>
      <c r="C321" s="3">
        <f>HYPERLINK("https://www.omim.org/entry/128230",128230)</f>
        <v>128230</v>
      </c>
      <c r="D321" s="15">
        <f>HYPERLINK("https://www.omim.org/entry/233910",233910)</f>
        <v>233910</v>
      </c>
      <c r="I321" s="6" t="s">
        <v>640</v>
      </c>
    </row>
    <row r="322" spans="1:9" ht="15" x14ac:dyDescent="0.25">
      <c r="A322" s="1" t="s">
        <v>641</v>
      </c>
      <c r="B322" s="2">
        <f>HYPERLINK("https://www.omim.org/entry/138079",138079)</f>
        <v>138079</v>
      </c>
      <c r="C322" s="3">
        <f>HYPERLINK("https://www.omim.org/entry/606176",606176)</f>
        <v>606176</v>
      </c>
      <c r="D322" s="15">
        <f>HYPERLINK("https://www.omim.org/entry/602485",602485)</f>
        <v>602485</v>
      </c>
      <c r="I322" s="6" t="s">
        <v>642</v>
      </c>
    </row>
    <row r="323" spans="1:9" ht="15" x14ac:dyDescent="0.25">
      <c r="A323" s="1" t="s">
        <v>643</v>
      </c>
      <c r="B323" s="2">
        <f>HYPERLINK("https://www.omim.org/entry/603716",603716)</f>
        <v>603716</v>
      </c>
      <c r="C323" s="3">
        <f>HYPERLINK("https://www.omim.org/entry/618883",618883)</f>
        <v>618883</v>
      </c>
      <c r="I323" s="6" t="s">
        <v>644</v>
      </c>
    </row>
    <row r="324" spans="1:9" ht="15" x14ac:dyDescent="0.25">
      <c r="A324" s="1" t="s">
        <v>645</v>
      </c>
      <c r="B324" s="2">
        <f>HYPERLINK("https://www.omim.org/entry/137167",137167)</f>
        <v>137167</v>
      </c>
      <c r="C324" s="3">
        <f>HYPERLINK("https://www.omim.org/entry/277450",277450)</f>
        <v>277450</v>
      </c>
      <c r="D324" s="15">
        <f>HYPERLINK("https://www.omim.org/entry/610842",610842)</f>
        <v>610842</v>
      </c>
      <c r="I324" s="20" t="s">
        <v>646</v>
      </c>
    </row>
    <row r="325" spans="1:9" ht="15" x14ac:dyDescent="0.25">
      <c r="A325" s="1" t="s">
        <v>647</v>
      </c>
      <c r="B325" s="2">
        <f>HYPERLINK("https://www.omim.org/entry/139250",139250)</f>
        <v>139250</v>
      </c>
      <c r="C325" s="3">
        <f>HYPERLINK("https://www.omim.org/entry/173100",173100)</f>
        <v>173100</v>
      </c>
      <c r="D325" s="15">
        <f>HYPERLINK("https://www.omim.org/entry/612781",612781)</f>
        <v>612781</v>
      </c>
      <c r="E325" s="15">
        <f>HYPERLINK("https://www.omim.org/entry/262400",262400)</f>
        <v>262400</v>
      </c>
      <c r="I325" s="6" t="s">
        <v>648</v>
      </c>
    </row>
    <row r="326" spans="1:9" ht="15" x14ac:dyDescent="0.25">
      <c r="A326" s="1" t="s">
        <v>649</v>
      </c>
      <c r="B326" s="2">
        <f>HYPERLINK("https://www.omim.org/entry/600946",600946)</f>
        <v>600946</v>
      </c>
      <c r="C326" s="3">
        <f>HYPERLINK("https://www.omim.org/entry/604271",604271)</f>
        <v>604271</v>
      </c>
      <c r="I326" s="6" t="s">
        <v>650</v>
      </c>
    </row>
    <row r="327" spans="1:9" ht="15" x14ac:dyDescent="0.25">
      <c r="A327" s="1" t="s">
        <v>651</v>
      </c>
      <c r="B327" s="2">
        <f>HYPERLINK("https://www.omim.org/entry/139191",139191)</f>
        <v>139191</v>
      </c>
      <c r="C327" s="3">
        <f>HYPERLINK("https://www.omim.org/entry/618157",618157)</f>
        <v>618157</v>
      </c>
      <c r="I327" s="6" t="s">
        <v>652</v>
      </c>
    </row>
    <row r="328" spans="1:9" ht="15" x14ac:dyDescent="0.25">
      <c r="A328" s="1" t="s">
        <v>653</v>
      </c>
      <c r="B328" s="2">
        <f>HYPERLINK("https://www.omim.org/entry/608792",608792)</f>
        <v>608792</v>
      </c>
      <c r="C328" s="3">
        <f>HYPERLINK("https://www.omim.org/entry/601869",601869)</f>
        <v>601869</v>
      </c>
      <c r="I328" s="6" t="s">
        <v>654</v>
      </c>
    </row>
    <row r="329" spans="1:9" ht="15" x14ac:dyDescent="0.25">
      <c r="A329" s="1" t="s">
        <v>655</v>
      </c>
      <c r="B329" s="2">
        <f>HYPERLINK("https://www.omim.org/entry/121011",121011)</f>
        <v>121011</v>
      </c>
      <c r="C329" s="3">
        <f>HYPERLINK("https://www.omim.org/entry/220290",220290)</f>
        <v>220290</v>
      </c>
      <c r="D329" s="15">
        <f>HYPERLINK("https://www.omim.org/entry/601544",601544)</f>
        <v>601544</v>
      </c>
      <c r="I329" s="6" t="s">
        <v>656</v>
      </c>
    </row>
    <row r="330" spans="1:9" ht="15" x14ac:dyDescent="0.25">
      <c r="A330" s="1" t="s">
        <v>657</v>
      </c>
      <c r="B330" s="2">
        <f>HYPERLINK("https://www.omim.org/entry/604418",604418)</f>
        <v>604418</v>
      </c>
      <c r="C330" s="3">
        <f>HYPERLINK("https://www.omim.org/entry/612645",612645)</f>
        <v>612645</v>
      </c>
      <c r="I330" s="6" t="s">
        <v>658</v>
      </c>
    </row>
    <row r="331" spans="1:9" ht="15" x14ac:dyDescent="0.25">
      <c r="A331" s="1" t="s">
        <v>659</v>
      </c>
      <c r="B331" s="2">
        <f>HYPERLINK("https://www.omim.org/entry/300644",300644)</f>
        <v>300644</v>
      </c>
      <c r="C331" s="3">
        <f>HYPERLINK("https://www.omim.org/entry/301500",301500)</f>
        <v>301500</v>
      </c>
      <c r="I331" s="6" t="s">
        <v>660</v>
      </c>
    </row>
    <row r="332" spans="1:9" ht="15" x14ac:dyDescent="0.25">
      <c r="A332" s="1" t="s">
        <v>661</v>
      </c>
      <c r="B332" s="2">
        <f>HYPERLINK("https://www.omim.org/entry/610192",610192)</f>
        <v>610192</v>
      </c>
      <c r="C332" s="3">
        <f>HYPERLINK("https://www.omim.org/entry/610199",610199)</f>
        <v>610199</v>
      </c>
      <c r="I332" s="6" t="s">
        <v>662</v>
      </c>
    </row>
    <row r="333" spans="1:9" ht="15" x14ac:dyDescent="0.25">
      <c r="A333" s="1" t="s">
        <v>663</v>
      </c>
      <c r="B333" s="2">
        <f>HYPERLINK("https://www.omim.org/entry/138130",138130)</f>
        <v>138130</v>
      </c>
      <c r="C333" s="3">
        <f>HYPERLINK("https://www.omim.org/entry/606762",606762)</f>
        <v>606762</v>
      </c>
      <c r="I333" s="6" t="s">
        <v>664</v>
      </c>
    </row>
    <row r="334" spans="1:9" ht="15" x14ac:dyDescent="0.25">
      <c r="A334" s="1" t="s">
        <v>665</v>
      </c>
      <c r="B334" s="2">
        <f>HYPERLINK("https://www.omim.org/entry/606672",606672)</f>
        <v>606672</v>
      </c>
      <c r="C334" s="3">
        <f>HYPERLINK("https://www.omim.org/entry/231200",231200)</f>
        <v>231200</v>
      </c>
      <c r="D334" s="15">
        <f>HYPERLINK("https://www.omim.org/entry/153670",153670)</f>
        <v>153670</v>
      </c>
      <c r="E334" s="15">
        <f>HYPERLINK("https://www.omim.org/entry/177820",177820)</f>
        <v>177820</v>
      </c>
      <c r="I334" s="6" t="s">
        <v>666</v>
      </c>
    </row>
    <row r="335" spans="1:9" ht="15" x14ac:dyDescent="0.25">
      <c r="A335" s="1" t="s">
        <v>667</v>
      </c>
      <c r="B335" s="2">
        <f>HYPERLINK("https://www.omim.org/entry/138720",138720)</f>
        <v>138720</v>
      </c>
      <c r="C335" s="3">
        <f>HYPERLINK("https://www.omim.org/entry/231200",231200)</f>
        <v>231200</v>
      </c>
      <c r="I335" s="6" t="s">
        <v>668</v>
      </c>
    </row>
    <row r="336" spans="1:9" ht="15" x14ac:dyDescent="0.25">
      <c r="A336" s="1" t="s">
        <v>669</v>
      </c>
      <c r="B336" s="2">
        <f>HYPERLINK("https://www.omim.org/entry/173515",173515)</f>
        <v>173515</v>
      </c>
      <c r="C336" s="3">
        <f>HYPERLINK("https://www.omim.org/entry/231200",231200)</f>
        <v>231200</v>
      </c>
      <c r="I336" s="6" t="s">
        <v>670</v>
      </c>
    </row>
    <row r="337" spans="1:9" ht="15" x14ac:dyDescent="0.25">
      <c r="A337" s="1" t="s">
        <v>671</v>
      </c>
      <c r="B337" s="2">
        <f>HYPERLINK("https://www.omim.org/entry/612757",612757)</f>
        <v>612757</v>
      </c>
      <c r="C337" s="3">
        <f>HYPERLINK("https://www.omim.org/entry/615947",615947)</f>
        <v>615947</v>
      </c>
      <c r="I337" s="6" t="s">
        <v>672</v>
      </c>
    </row>
    <row r="338" spans="1:9" ht="15" x14ac:dyDescent="0.25">
      <c r="A338" s="1" t="s">
        <v>673</v>
      </c>
      <c r="B338" s="2">
        <f>HYPERLINK("https://www.omim.org/entry/300393",300393)</f>
        <v>300393</v>
      </c>
      <c r="C338" s="3">
        <f>HYPERLINK("https://www.omim.org/entry/300943",300943)</f>
        <v>300943</v>
      </c>
      <c r="I338" s="6" t="s">
        <v>674</v>
      </c>
    </row>
    <row r="339" spans="1:9" ht="15" x14ac:dyDescent="0.25">
      <c r="A339" s="1" t="s">
        <v>675</v>
      </c>
      <c r="B339" s="2">
        <f>HYPERLINK("https://www.omim.org/entry/609245",609245)</f>
        <v>609245</v>
      </c>
      <c r="C339" s="3">
        <f>HYPERLINK("https://www.omim.org/entry/604213",604213)</f>
        <v>604213</v>
      </c>
      <c r="I339" s="6" t="s">
        <v>676</v>
      </c>
    </row>
    <row r="340" spans="1:9" ht="15" x14ac:dyDescent="0.25">
      <c r="A340" s="1" t="s">
        <v>677</v>
      </c>
      <c r="B340" s="2">
        <f>HYPERLINK("https://www.omim.org/entry/604296",604296)</f>
        <v>604296</v>
      </c>
      <c r="C340" s="3">
        <f>HYPERLINK("https://www.omim.org/entry/260000",260000)</f>
        <v>260000</v>
      </c>
      <c r="I340" s="6" t="s">
        <v>678</v>
      </c>
    </row>
    <row r="341" spans="1:9" ht="15" x14ac:dyDescent="0.25">
      <c r="A341" s="1" t="s">
        <v>679</v>
      </c>
      <c r="B341" s="2">
        <f>HYPERLINK("https://www.omim.org/entry/138249",138249)</f>
        <v>138249</v>
      </c>
      <c r="C341" s="3">
        <f>HYPERLINK("https://www.omim.org/entry/617820",617820)</f>
        <v>617820</v>
      </c>
      <c r="D341" s="15">
        <f>HYPERLINK("https://www.omim.org/entry/614254",614254)</f>
        <v>614254</v>
      </c>
      <c r="I341" s="6" t="s">
        <v>680</v>
      </c>
    </row>
    <row r="342" spans="1:9" ht="15" x14ac:dyDescent="0.25">
      <c r="A342" s="1" t="s">
        <v>681</v>
      </c>
      <c r="B342" s="2">
        <f>HYPERLINK("https://www.omim.org/entry/138253",138253)</f>
        <v>138253</v>
      </c>
      <c r="C342" s="3">
        <f>HYPERLINK("https://www.omim.org/entry/245570",245570)</f>
        <v>245570</v>
      </c>
      <c r="I342" s="6" t="s">
        <v>682</v>
      </c>
    </row>
    <row r="343" spans="1:9" ht="15" x14ac:dyDescent="0.25">
      <c r="A343" s="1" t="s">
        <v>683</v>
      </c>
      <c r="B343" s="2">
        <f>HYPERLINK("https://www.omim.org/entry/138252",138252)</f>
        <v>138252</v>
      </c>
      <c r="C343" s="3">
        <f>HYPERLINK("https://www.omim.org/entry/613970",613970)</f>
        <v>613970</v>
      </c>
      <c r="I343" s="6" t="s">
        <v>684</v>
      </c>
    </row>
    <row r="344" spans="1:9" ht="15" x14ac:dyDescent="0.25">
      <c r="A344" s="1" t="s">
        <v>685</v>
      </c>
      <c r="B344" s="2">
        <f>HYPERLINK("https://www.omim.org/entry/602717",602717)</f>
        <v>602717</v>
      </c>
      <c r="C344" s="3">
        <f>HYPERLINK("https://www.omim.org/entry/617162",617162)</f>
        <v>617162</v>
      </c>
      <c r="I344" s="6" t="s">
        <v>686</v>
      </c>
    </row>
    <row r="345" spans="1:9" ht="15" x14ac:dyDescent="0.25">
      <c r="A345" s="1" t="s">
        <v>687</v>
      </c>
      <c r="B345" s="2">
        <f>HYPERLINK("https://www.omim.org/entry/613283",613283)</f>
        <v>613283</v>
      </c>
      <c r="C345" s="3">
        <f>HYPERLINK("https://www.omim.org/entry/613285",613285)</f>
        <v>613285</v>
      </c>
      <c r="I345" s="6" t="s">
        <v>688</v>
      </c>
    </row>
    <row r="346" spans="1:9" ht="15" x14ac:dyDescent="0.25">
      <c r="A346" s="1" t="s">
        <v>689</v>
      </c>
      <c r="B346" s="2">
        <f>HYPERLINK("https://www.omim.org/entry/601002",601002)</f>
        <v>601002</v>
      </c>
      <c r="C346" s="3">
        <f>HYPERLINK("https://www.omim.org/entry/266130",266130)</f>
        <v>266130</v>
      </c>
      <c r="I346" s="6" t="s">
        <v>690</v>
      </c>
    </row>
    <row r="347" spans="1:9" ht="15" x14ac:dyDescent="0.25">
      <c r="A347" s="1" t="s">
        <v>691</v>
      </c>
      <c r="B347" s="2">
        <f>HYPERLINK("https://www.omim.org/entry/611499",611499)</f>
        <v>611499</v>
      </c>
      <c r="C347" s="3">
        <f>HYPERLINK("https://www.omim.org/entry/253220",253220)</f>
        <v>253220</v>
      </c>
      <c r="I347" s="6" t="s">
        <v>692</v>
      </c>
    </row>
    <row r="348" spans="1:9" ht="15" x14ac:dyDescent="0.25">
      <c r="A348" s="1" t="s">
        <v>693</v>
      </c>
      <c r="B348" s="2">
        <f>HYPERLINK("https://www.omim.org/entry/138571",138571)</f>
        <v>138571</v>
      </c>
      <c r="C348" s="3">
        <f>HYPERLINK("https://www.omim.org/entry/240600",240600)</f>
        <v>240600</v>
      </c>
      <c r="I348" s="6" t="s">
        <v>694</v>
      </c>
    </row>
    <row r="349" spans="1:9" ht="15" x14ac:dyDescent="0.25">
      <c r="A349" s="1" t="s">
        <v>695</v>
      </c>
      <c r="B349" s="2">
        <f>HYPERLINK("https://www.omim.org/entry/601609",601609)</f>
        <v>601609</v>
      </c>
      <c r="C349" s="3">
        <f>HYPERLINK("https://www.omim.org/entry/609975",609975)</f>
        <v>609975</v>
      </c>
      <c r="D349" s="15">
        <f>HYPERLINK("https://www.omim.org/entry/231530",231530)</f>
        <v>231530</v>
      </c>
      <c r="I349" s="6" t="s">
        <v>696</v>
      </c>
    </row>
    <row r="350" spans="1:9" ht="15" x14ac:dyDescent="0.25">
      <c r="A350" s="1" t="s">
        <v>697</v>
      </c>
      <c r="B350" s="2">
        <f>HYPERLINK("https://www.omim.org/entry/600890",600890)</f>
        <v>600890</v>
      </c>
      <c r="C350" s="3">
        <f>HYPERLINK("https://www.omim.org/entry/609016",609016)</f>
        <v>609016</v>
      </c>
      <c r="D350" s="15">
        <f>HYPERLINK("https://www.omim.org/entry/609015",609015)</f>
        <v>609015</v>
      </c>
      <c r="I350" s="6" t="s">
        <v>698</v>
      </c>
    </row>
    <row r="351" spans="1:9" ht="15" x14ac:dyDescent="0.25">
      <c r="A351" s="1" t="s">
        <v>699</v>
      </c>
      <c r="B351" s="2">
        <f>HYPERLINK("https://www.omim.org/entry/143450",143450)</f>
        <v>143450</v>
      </c>
      <c r="C351" s="3">
        <f>HYPERLINK("https://www.omim.org/entry/620300",620300)</f>
        <v>620300</v>
      </c>
      <c r="I351" s="6" t="s">
        <v>700</v>
      </c>
    </row>
    <row r="352" spans="1:9" ht="15" x14ac:dyDescent="0.25">
      <c r="A352" s="1" t="s">
        <v>701</v>
      </c>
      <c r="B352" s="2">
        <f>HYPERLINK("https://www.omim.org/entry/606464",606464)</f>
        <v>606464</v>
      </c>
      <c r="C352" s="3">
        <f>HYPERLINK("https://www.omim.org/entry/613313",613313)</f>
        <v>613313</v>
      </c>
      <c r="I352" s="6" t="s">
        <v>702</v>
      </c>
    </row>
    <row r="353" spans="1:9" ht="15" x14ac:dyDescent="0.25">
      <c r="A353" s="1" t="s">
        <v>703</v>
      </c>
      <c r="B353" s="2">
        <f>HYPERLINK("https://www.omim.org/entry/600783",600783)</f>
        <v>600783</v>
      </c>
      <c r="C353" s="3">
        <f>HYPERLINK("https://www.omim.org/entry/614926",614926)</f>
        <v>614926</v>
      </c>
      <c r="I353" s="6" t="s">
        <v>704</v>
      </c>
    </row>
    <row r="354" spans="1:9" ht="15" x14ac:dyDescent="0.25">
      <c r="A354" s="1" t="s">
        <v>705</v>
      </c>
      <c r="B354" s="2">
        <f>HYPERLINK("https://www.omim.org/entry/606652",606652)</f>
        <v>606652</v>
      </c>
      <c r="C354" s="3">
        <f>HYPERLINK("https://www.omim.org/entry/618398",618398)</f>
        <v>618398</v>
      </c>
      <c r="I354" s="6" t="s">
        <v>706</v>
      </c>
    </row>
    <row r="355" spans="1:9" ht="15" x14ac:dyDescent="0.25">
      <c r="A355" s="1" t="s">
        <v>707</v>
      </c>
      <c r="B355" s="2">
        <f>HYPERLINK("https://www.omim.org/entry/605998",605998)</f>
        <v>605998</v>
      </c>
      <c r="C355" s="3">
        <f>HYPERLINK("https://www.omim.org/entry/610738",610738)</f>
        <v>610738</v>
      </c>
      <c r="I355" s="6" t="s">
        <v>708</v>
      </c>
    </row>
    <row r="356" spans="1:9" ht="15" x14ac:dyDescent="0.25">
      <c r="A356" s="1" t="s">
        <v>709</v>
      </c>
      <c r="B356" s="21">
        <f>HYPERLINK("https://www.omim.org/entry/141800",141800)</f>
        <v>141800</v>
      </c>
      <c r="C356" s="22">
        <v>613978</v>
      </c>
      <c r="D356" s="23">
        <v>604131</v>
      </c>
      <c r="I356" s="6" t="s">
        <v>710</v>
      </c>
    </row>
    <row r="357" spans="1:9" ht="15" x14ac:dyDescent="0.25">
      <c r="A357" s="1" t="s">
        <v>711</v>
      </c>
      <c r="B357" s="21">
        <f>HYPERLINK("https://www.omim.org/entry/141850",141850)</f>
        <v>141850</v>
      </c>
      <c r="C357" s="22">
        <v>613978</v>
      </c>
      <c r="D357" s="23">
        <v>604131</v>
      </c>
      <c r="I357" s="6" t="s">
        <v>712</v>
      </c>
    </row>
    <row r="358" spans="1:9" ht="15" x14ac:dyDescent="0.25">
      <c r="A358" s="1" t="s">
        <v>713</v>
      </c>
      <c r="B358" s="2">
        <f>HYPERLINK("https://www.omim.org/entry/141900",141900)</f>
        <v>141900</v>
      </c>
      <c r="C358" s="3">
        <f>HYPERLINK("https://www.omim.org/entry/603903",603903)</f>
        <v>603903</v>
      </c>
      <c r="D358" s="15">
        <f>HYPERLINK("https://www.omim.org/entry/613985",613985)</f>
        <v>613985</v>
      </c>
      <c r="I358" s="6" t="s">
        <v>714</v>
      </c>
    </row>
    <row r="359" spans="1:9" ht="15" x14ac:dyDescent="0.25">
      <c r="A359" s="1" t="s">
        <v>715</v>
      </c>
      <c r="B359" s="2">
        <f>HYPERLINK("https://www.omim.org/entry/300019",300019)</f>
        <v>300019</v>
      </c>
      <c r="C359" s="3">
        <f>HYPERLINK("https://www.omim.org/entry/309541",309541)</f>
        <v>309541</v>
      </c>
      <c r="I359" s="6" t="s">
        <v>716</v>
      </c>
    </row>
    <row r="360" spans="1:9" ht="15" x14ac:dyDescent="0.25">
      <c r="A360" s="1" t="s">
        <v>717</v>
      </c>
      <c r="B360" s="2">
        <f>HYPERLINK("https://www.omim.org/entry/603946",603946)</f>
        <v>603946</v>
      </c>
      <c r="C360" s="3">
        <f>HYPERLINK("https://www.omim.org/entry/616911",616911)</f>
        <v>616911</v>
      </c>
      <c r="I360" s="6" t="s">
        <v>718</v>
      </c>
    </row>
    <row r="361" spans="1:9" ht="15" x14ac:dyDescent="0.25">
      <c r="A361" s="1" t="s">
        <v>719</v>
      </c>
      <c r="B361" s="2">
        <f>HYPERLINK("https://www.omim.org/entry/601802",601802)</f>
        <v>601802</v>
      </c>
      <c r="C361" s="3">
        <f>HYPERLINK("https://www.omim.org/entry/182230",182230)</f>
        <v>182230</v>
      </c>
      <c r="I361" s="6" t="s">
        <v>720</v>
      </c>
    </row>
    <row r="362" spans="1:9" ht="15" x14ac:dyDescent="0.25">
      <c r="A362" s="1" t="s">
        <v>721</v>
      </c>
      <c r="B362" s="2">
        <f>HYPERLINK("https://www.omim.org/entry/607474",607474)</f>
        <v>607474</v>
      </c>
      <c r="C362" s="3">
        <f>HYPERLINK("https://www.omim.org/entry/203500",203500)</f>
        <v>203500</v>
      </c>
      <c r="I362" s="6" t="s">
        <v>722</v>
      </c>
    </row>
    <row r="363" spans="1:9" ht="15" x14ac:dyDescent="0.25">
      <c r="A363" s="1" t="s">
        <v>723</v>
      </c>
      <c r="B363" s="2">
        <f>HYPERLINK("https://www.omim.org/entry/142409",142409)</f>
        <v>142409</v>
      </c>
      <c r="C363" s="3">
        <f>HYPERLINK("https://www.omim.org/entry/608265",608265)</f>
        <v>608265</v>
      </c>
      <c r="I363" s="6" t="s">
        <v>724</v>
      </c>
    </row>
    <row r="364" spans="1:9" ht="15" x14ac:dyDescent="0.25">
      <c r="A364" s="1" t="s">
        <v>725</v>
      </c>
      <c r="B364" s="2">
        <f>HYPERLINK("https://www.omim.org/entry/610690",610690)</f>
        <v>610690</v>
      </c>
      <c r="C364" s="3">
        <f>HYPERLINK("https://www.omim.org/entry/250620",250620)</f>
        <v>250620</v>
      </c>
      <c r="I364" s="6" t="s">
        <v>726</v>
      </c>
    </row>
    <row r="365" spans="1:9" ht="15" x14ac:dyDescent="0.25">
      <c r="A365" s="1" t="s">
        <v>727</v>
      </c>
      <c r="B365" s="2">
        <f>HYPERLINK("https://www.omim.org/entry/609018",609018)</f>
        <v>609018</v>
      </c>
      <c r="C365" s="3">
        <f>HYPERLINK("https://www.omim.org/entry/253270",253270)</f>
        <v>253270</v>
      </c>
      <c r="I365" s="6" t="s">
        <v>728</v>
      </c>
    </row>
    <row r="366" spans="1:9" ht="15" x14ac:dyDescent="0.25">
      <c r="A366" s="1" t="s">
        <v>729</v>
      </c>
      <c r="B366" s="2">
        <f>HYPERLINK("https://www.omim.org/entry/609806",609806)</f>
        <v>609806</v>
      </c>
      <c r="C366" s="3">
        <f>HYPERLINK("https://www.omim.org/entry/620711",620711)</f>
        <v>620711</v>
      </c>
      <c r="D366" s="15">
        <f>HYPERLINK("https://www.omim.org/entry/620704",620704)</f>
        <v>620704</v>
      </c>
      <c r="E366" s="15">
        <f>HYPERLINK("https://www.omim.org/entry/176000",176000)</f>
        <v>176000</v>
      </c>
      <c r="I366" s="6" t="s">
        <v>730</v>
      </c>
    </row>
    <row r="367" spans="1:9" ht="15" x14ac:dyDescent="0.25">
      <c r="A367" s="1" t="s">
        <v>731</v>
      </c>
      <c r="B367" s="2">
        <f>HYPERLINK("https://www.omim.org/entry/613898",613898)</f>
        <v>613898</v>
      </c>
      <c r="C367" s="3">
        <f>HYPERLINK("https://www.omim.org/entry/246450",246450)</f>
        <v>246450</v>
      </c>
      <c r="I367" s="6" t="s">
        <v>732</v>
      </c>
    </row>
    <row r="368" spans="1:9" ht="15" x14ac:dyDescent="0.25">
      <c r="A368" s="1" t="s">
        <v>733</v>
      </c>
      <c r="B368" s="2">
        <f>HYPERLINK("https://www.omim.org/entry/600234",600234)</f>
        <v>600234</v>
      </c>
      <c r="C368" s="3">
        <f>HYPERLINK("https://www.omim.org/entry/605911",605911)</f>
        <v>605911</v>
      </c>
      <c r="I368" s="6" t="s">
        <v>734</v>
      </c>
    </row>
    <row r="369" spans="1:9" ht="15" x14ac:dyDescent="0.25">
      <c r="A369" s="1" t="s">
        <v>735</v>
      </c>
      <c r="B369" s="2">
        <f>HYPERLINK("https://www.omim.org/entry/142410",142410)</f>
        <v>142410</v>
      </c>
      <c r="C369" s="3">
        <f>HYPERLINK("https://www.omim.org/entry/222100",222100)</f>
        <v>222100</v>
      </c>
      <c r="I369" s="6" t="s">
        <v>736</v>
      </c>
    </row>
    <row r="370" spans="1:9" ht="15" x14ac:dyDescent="0.25">
      <c r="A370" s="1" t="s">
        <v>737</v>
      </c>
      <c r="B370" s="2">
        <f>HYPERLINK("https://www.omim.org/entry/189907",189907)</f>
        <v>189907</v>
      </c>
      <c r="C370" s="3">
        <f>HYPERLINK("https://www.omim.org/entry/137920",137920)</f>
        <v>137920</v>
      </c>
      <c r="I370" s="6" t="s">
        <v>738</v>
      </c>
    </row>
    <row r="371" spans="1:9" ht="15" x14ac:dyDescent="0.25">
      <c r="A371" s="1" t="s">
        <v>739</v>
      </c>
      <c r="B371" s="2">
        <f>HYPERLINK("https://www.omim.org/entry/600281",600281)</f>
        <v>600281</v>
      </c>
      <c r="C371" s="3">
        <f>HYPERLINK("https://www.omim.org/entry/616026",616026)</f>
        <v>616026</v>
      </c>
      <c r="I371" s="6" t="s">
        <v>740</v>
      </c>
    </row>
    <row r="372" spans="1:9" ht="15" x14ac:dyDescent="0.25">
      <c r="A372" s="1" t="s">
        <v>741</v>
      </c>
      <c r="B372" s="2">
        <f>HYPERLINK("https://www.omim.org/entry/613597",613597)</f>
        <v>613597</v>
      </c>
      <c r="C372" s="3">
        <f>HYPERLINK("https://www.omim.org/entry/613616",613616)</f>
        <v>613616</v>
      </c>
      <c r="I372" s="6" t="s">
        <v>742</v>
      </c>
    </row>
    <row r="373" spans="1:9" ht="15" x14ac:dyDescent="0.25">
      <c r="A373" s="1" t="s">
        <v>743</v>
      </c>
      <c r="B373" s="2">
        <f>HYPERLINK("https://www.omim.org/entry/609695",609695)</f>
        <v>609695</v>
      </c>
      <c r="C373" s="3">
        <f>HYPERLINK("https://www.omim.org/entry/276710",276710)</f>
        <v>276710</v>
      </c>
      <c r="I373" s="6" t="s">
        <v>744</v>
      </c>
    </row>
    <row r="374" spans="1:9" ht="15" x14ac:dyDescent="0.25">
      <c r="A374" s="1" t="s">
        <v>745</v>
      </c>
      <c r="B374" s="2">
        <f>HYPERLINK("https://www.omim.org/entry/308000",308000)</f>
        <v>308000</v>
      </c>
      <c r="C374" s="3">
        <f>HYPERLINK("https://www.omim.org/entry/300323",300323)</f>
        <v>300323</v>
      </c>
      <c r="I374" s="6" t="s">
        <v>746</v>
      </c>
    </row>
    <row r="375" spans="1:9" ht="15" x14ac:dyDescent="0.25">
      <c r="A375" s="1" t="s">
        <v>747</v>
      </c>
      <c r="B375" s="2">
        <f>HYPERLINK("https://www.omim.org/entry/614232",614232)</f>
        <v>614232</v>
      </c>
      <c r="C375" s="3">
        <f>HYPERLINK("https://www.omim.org/entry/218030",218030)</f>
        <v>218030</v>
      </c>
      <c r="I375" s="6" t="s">
        <v>748</v>
      </c>
    </row>
    <row r="376" spans="1:9" ht="15" x14ac:dyDescent="0.25">
      <c r="A376" s="1" t="s">
        <v>749</v>
      </c>
      <c r="B376" s="2">
        <f>HYPERLINK("https://www.omim.org/entry/613890",613890)</f>
        <v>613890</v>
      </c>
      <c r="C376" s="3">
        <f>HYPERLINK("https://www.omim.org/entry/201810",201810)</f>
        <v>201810</v>
      </c>
      <c r="I376" s="6" t="s">
        <v>750</v>
      </c>
    </row>
    <row r="377" spans="1:9" ht="15" x14ac:dyDescent="0.25">
      <c r="A377" s="1" t="s">
        <v>751</v>
      </c>
      <c r="B377" s="2">
        <f>HYPERLINK("https://www.omim.org/entry/607764",607764)</f>
        <v>607764</v>
      </c>
      <c r="C377" s="3">
        <f>HYPERLINK("https://www.omim.org/entry/607765",607765)</f>
        <v>607765</v>
      </c>
      <c r="I377" s="6" t="s">
        <v>752</v>
      </c>
    </row>
    <row r="378" spans="1:9" ht="15" x14ac:dyDescent="0.25">
      <c r="A378" s="1" t="s">
        <v>753</v>
      </c>
      <c r="B378" s="2">
        <f>HYPERLINK("https://www.omim.org/entry/610812",610812)</f>
        <v>610812</v>
      </c>
      <c r="C378" s="3">
        <f>HYPERLINK("https://www.omim.org/entry/608647",608647)</f>
        <v>608647</v>
      </c>
      <c r="I378" s="6" t="s">
        <v>754</v>
      </c>
    </row>
    <row r="379" spans="1:9" ht="15" x14ac:dyDescent="0.25">
      <c r="A379" s="1" t="s">
        <v>755</v>
      </c>
      <c r="B379" s="2">
        <f>HYPERLINK("https://www.omim.org/entry/147650",147650)</f>
        <v>147650</v>
      </c>
      <c r="C379" s="3">
        <f>HYPERLINK("https://www.omim.org/entry/613657",613657)</f>
        <v>613657</v>
      </c>
      <c r="I379" s="6" t="s">
        <v>756</v>
      </c>
    </row>
    <row r="380" spans="1:9" ht="15" x14ac:dyDescent="0.25">
      <c r="A380" s="1" t="s">
        <v>757</v>
      </c>
      <c r="B380" s="2">
        <f>HYPERLINK("https://www.omim.org/entry/300823",300823)</f>
        <v>300823</v>
      </c>
      <c r="C380" s="3">
        <f>HYPERLINK("https://www.omim.org/entry/309900",309900)</f>
        <v>309900</v>
      </c>
      <c r="I380" s="6" t="s">
        <v>758</v>
      </c>
    </row>
    <row r="381" spans="1:9" ht="15" x14ac:dyDescent="0.25">
      <c r="A381" s="1" t="s">
        <v>759</v>
      </c>
      <c r="B381" s="2">
        <f>HYPERLINK("https://www.omim.org/entry/252800",252800)</f>
        <v>252800</v>
      </c>
      <c r="C381" s="3">
        <f>HYPERLINK("https://www.omim.org/entry/607016",607016)</f>
        <v>607016</v>
      </c>
      <c r="D381" s="15">
        <f>HYPERLINK("https://www.omim.org/entry/607015",607015)</f>
        <v>607015</v>
      </c>
      <c r="E381" s="15">
        <f>HYPERLINK("https://www.omim.org/entry/607014",607014)</f>
        <v>607014</v>
      </c>
      <c r="I381" s="6" t="s">
        <v>760</v>
      </c>
    </row>
    <row r="382" spans="1:9" ht="15" x14ac:dyDescent="0.25">
      <c r="A382" s="1" t="s">
        <v>761</v>
      </c>
      <c r="B382" s="2">
        <f>HYPERLINK("https://www.omim.org/entry/614757",614757)</f>
        <v>614757</v>
      </c>
      <c r="C382" s="3">
        <f>HYPERLINK("https://www.omim.org/entry/610967",610967)</f>
        <v>610967</v>
      </c>
      <c r="I382" s="6" t="s">
        <v>762</v>
      </c>
    </row>
    <row r="383" spans="1:9" ht="15" x14ac:dyDescent="0.25">
      <c r="A383" s="1" t="s">
        <v>763</v>
      </c>
      <c r="B383" s="2">
        <f>HYPERLINK("https://www.omim.org/entry/107470",107470)</f>
        <v>107470</v>
      </c>
      <c r="C383" s="3">
        <f>HYPERLINK("https://www.omim.org/entry/209950",209950)</f>
        <v>209950</v>
      </c>
      <c r="D383" s="15">
        <f>HYPERLINK("https://www.omim.org/entry/615978",615978)</f>
        <v>615978</v>
      </c>
      <c r="I383" s="6" t="s">
        <v>764</v>
      </c>
    </row>
    <row r="384" spans="1:9" ht="15" x14ac:dyDescent="0.25">
      <c r="A384" s="1" t="s">
        <v>765</v>
      </c>
      <c r="B384" s="2">
        <f>HYPERLINK("https://www.omim.org/entry/147569",147569)</f>
        <v>147569</v>
      </c>
      <c r="C384" s="3">
        <f>HYPERLINK("https://www.omim.org/entry/614889",614889)</f>
        <v>614889</v>
      </c>
      <c r="I384" s="6" t="s">
        <v>766</v>
      </c>
    </row>
    <row r="385" spans="1:9" ht="15" x14ac:dyDescent="0.25">
      <c r="A385" s="1" t="s">
        <v>767</v>
      </c>
      <c r="B385" s="2">
        <f>HYPERLINK("https://www.omim.org/entry/147440",147440)</f>
        <v>147440</v>
      </c>
      <c r="C385" s="3">
        <f>HYPERLINK("https://www.omim.org/entry/608747",608747)</f>
        <v>608747</v>
      </c>
      <c r="I385" s="6" t="s">
        <v>768</v>
      </c>
    </row>
    <row r="386" spans="1:9" ht="15" x14ac:dyDescent="0.25">
      <c r="A386" s="1" t="s">
        <v>769</v>
      </c>
      <c r="B386" s="2">
        <f>HYPERLINK("https://www.omim.org/entry/146770",146770)</f>
        <v>146770</v>
      </c>
      <c r="C386" s="3">
        <f>HYPERLINK("https://www.omim.org/entry/613500",613500)</f>
        <v>613500</v>
      </c>
      <c r="I386" s="6" t="s">
        <v>770</v>
      </c>
    </row>
    <row r="387" spans="1:9" ht="15" x14ac:dyDescent="0.25">
      <c r="A387" s="1" t="s">
        <v>771</v>
      </c>
      <c r="B387" s="2">
        <f>HYPERLINK("https://www.omim.org/entry/300137",300137)</f>
        <v>300137</v>
      </c>
      <c r="C387" s="3">
        <f>HYPERLINK("https://www.omim.org/entry/300888",300888)</f>
        <v>300888</v>
      </c>
      <c r="I387" s="6" t="s">
        <v>772</v>
      </c>
    </row>
    <row r="388" spans="1:9" ht="15" x14ac:dyDescent="0.25">
      <c r="A388" s="1" t="s">
        <v>773</v>
      </c>
      <c r="B388" s="2">
        <f>HYPERLINK("https://www.omim.org/entry/603258",603258)</f>
        <v>603258</v>
      </c>
      <c r="C388" s="3">
        <f>HYPERLINK("https://www.omim.org/entry/615592",615592)</f>
        <v>615592</v>
      </c>
      <c r="D388" s="15">
        <f>HYPERLINK("https://www.omim.org/entry/618204",618204)</f>
        <v>618204</v>
      </c>
      <c r="I388" s="6" t="s">
        <v>774</v>
      </c>
    </row>
    <row r="389" spans="1:9" ht="15" x14ac:dyDescent="0.25">
      <c r="A389" s="1" t="s">
        <v>775</v>
      </c>
      <c r="B389" s="2">
        <f>HYPERLINK("https://www.omim.org/entry/300248",300248)</f>
        <v>300248</v>
      </c>
      <c r="C389" s="3">
        <f>HYPERLINK("https://www.omim.org/entry/300636",300636)</f>
        <v>300636</v>
      </c>
      <c r="I389" s="6" t="s">
        <v>776</v>
      </c>
    </row>
    <row r="390" spans="1:9" ht="15" x14ac:dyDescent="0.25">
      <c r="A390" s="1" t="s">
        <v>777</v>
      </c>
      <c r="B390" s="2">
        <f>HYPERLINK("https://www.omim.org/entry/146933",146933)</f>
        <v>146933</v>
      </c>
      <c r="C390" s="3">
        <f>HYPERLINK("https://www.omim.org/entry/613148",613148)</f>
        <v>613148</v>
      </c>
      <c r="I390" s="6" t="s">
        <v>778</v>
      </c>
    </row>
    <row r="391" spans="1:9" ht="15" x14ac:dyDescent="0.25">
      <c r="A391" s="1" t="s">
        <v>779</v>
      </c>
      <c r="B391" s="2">
        <f>HYPERLINK("https://www.omim.org/entry/123889",123889)</f>
        <v>123889</v>
      </c>
      <c r="C391" s="3">
        <f>HYPERLINK("https://www.omim.org/entry/612567",612567)</f>
        <v>612567</v>
      </c>
      <c r="I391" s="6" t="s">
        <v>780</v>
      </c>
    </row>
    <row r="392" spans="1:9" ht="15" x14ac:dyDescent="0.25">
      <c r="A392" s="1" t="s">
        <v>781</v>
      </c>
      <c r="B392" s="2">
        <f>HYPERLINK("https://www.omim.org/entry/605383",605383)</f>
        <v>605383</v>
      </c>
      <c r="C392" s="3">
        <f>HYPERLINK("https://www.omim.org/entry/615207",615207)</f>
        <v>615207</v>
      </c>
      <c r="I392" s="6" t="s">
        <v>782</v>
      </c>
    </row>
    <row r="393" spans="1:9" ht="15" x14ac:dyDescent="0.25">
      <c r="A393" s="1" t="s">
        <v>783</v>
      </c>
      <c r="B393" s="2">
        <f>HYPERLINK("https://www.omim.org/entry/147730",147730)</f>
        <v>147730</v>
      </c>
      <c r="C393" s="3">
        <f>HYPERLINK("https://www.omim.org/entry/606367",606367)</f>
        <v>606367</v>
      </c>
      <c r="I393" s="6" t="s">
        <v>784</v>
      </c>
    </row>
    <row r="394" spans="1:9" ht="15" x14ac:dyDescent="0.25">
      <c r="A394" s="1" t="s">
        <v>785</v>
      </c>
      <c r="B394" s="2">
        <f>HYPERLINK("https://www.omim.org/entry/146710",146710)</f>
        <v>146710</v>
      </c>
      <c r="C394" s="3">
        <f>HYPERLINK("https://www.omim.org/entry/618495",618495)</f>
        <v>618495</v>
      </c>
      <c r="I394" s="6" t="s">
        <v>786</v>
      </c>
    </row>
    <row r="395" spans="1:9" ht="15" x14ac:dyDescent="0.25">
      <c r="A395" s="1" t="s">
        <v>787</v>
      </c>
      <c r="B395" s="2">
        <f>HYPERLINK("https://www.omim.org/entry/308380",308380)</f>
        <v>308380</v>
      </c>
      <c r="C395" s="3">
        <f>HYPERLINK("https://www.omim.org/entry/300400",300400)</f>
        <v>300400</v>
      </c>
      <c r="I395" s="6" t="s">
        <v>788</v>
      </c>
    </row>
    <row r="396" spans="1:9" ht="15" x14ac:dyDescent="0.25">
      <c r="A396" s="1" t="s">
        <v>789</v>
      </c>
      <c r="B396" s="2">
        <f>HYPERLINK("https://www.omim.org/entry/146661",146661)</f>
        <v>146661</v>
      </c>
      <c r="C396" s="3">
        <f>HYPERLINK("https://www.omim.org/entry/608971",608971)</f>
        <v>608971</v>
      </c>
      <c r="I396" s="6" t="s">
        <v>790</v>
      </c>
    </row>
    <row r="397" spans="1:9" ht="15" x14ac:dyDescent="0.25">
      <c r="A397" s="1" t="s">
        <v>791</v>
      </c>
      <c r="B397" s="2">
        <f>HYPERLINK("https://www.omim.org/entry/609739",609739)</f>
        <v>609739</v>
      </c>
      <c r="C397" s="3">
        <f>HYPERLINK("https://www.omim.org/entry/609646",609646)</f>
        <v>609646</v>
      </c>
      <c r="I397" s="6" t="s">
        <v>792</v>
      </c>
    </row>
    <row r="398" spans="1:9" ht="15" x14ac:dyDescent="0.25">
      <c r="A398" s="1" t="s">
        <v>793</v>
      </c>
      <c r="B398" s="2">
        <f>HYPERLINK("https://www.omim.org/entry/176730",176730)</f>
        <v>176730</v>
      </c>
      <c r="C398" s="3">
        <f>HYPERLINK("https://www.omim.org/entry/618858",618858)</f>
        <v>618858</v>
      </c>
      <c r="I398" s="6" t="s">
        <v>794</v>
      </c>
    </row>
    <row r="399" spans="1:9" ht="15" x14ac:dyDescent="0.25">
      <c r="A399" s="17" t="s">
        <v>795</v>
      </c>
      <c r="B399" s="2">
        <f>HYPERLINK("https://www.omim.org/entry/606883",606883)</f>
        <v>606883</v>
      </c>
      <c r="C399" s="3">
        <f>HYPERLINK("https://www.omim.org/entry/607676",607676)</f>
        <v>607676</v>
      </c>
      <c r="I399" s="6" t="s">
        <v>796</v>
      </c>
    </row>
    <row r="400" spans="1:9" ht="15" x14ac:dyDescent="0.25">
      <c r="A400" s="1" t="s">
        <v>797</v>
      </c>
      <c r="B400" s="2">
        <f>HYPERLINK("https://www.omim.org/entry/601565",601565)</f>
        <v>601565</v>
      </c>
      <c r="C400" s="3">
        <f>HYPERLINK("https://www.omim.org/entry/226990",226990)</f>
        <v>226990</v>
      </c>
      <c r="I400" s="6" t="s">
        <v>798</v>
      </c>
    </row>
    <row r="401" spans="1:9" ht="15" x14ac:dyDescent="0.25">
      <c r="A401" s="17" t="s">
        <v>799</v>
      </c>
      <c r="B401" s="2">
        <f>HYPERLINK("https://www.omim.org/entry/300904",300904)</f>
        <v>300904</v>
      </c>
      <c r="C401" s="3">
        <f>HYPERLINK("https://www.omim.org/entry/301035",301035)</f>
        <v>301035</v>
      </c>
      <c r="I401" s="6" t="s">
        <v>800</v>
      </c>
    </row>
    <row r="402" spans="1:9" ht="15" x14ac:dyDescent="0.25">
      <c r="A402" s="17" t="s">
        <v>801</v>
      </c>
      <c r="B402" s="2">
        <f>HYPERLINK("https://www.omim.org/entry/607759",607759)</f>
        <v>607759</v>
      </c>
      <c r="C402" s="3">
        <f>HYPERLINK("https://www.omim.org/entry/273800",273800)</f>
        <v>273800</v>
      </c>
      <c r="D402" s="15">
        <f>HYPERLINK("https://www.omim.org/entry/187800",187800)</f>
        <v>187800</v>
      </c>
      <c r="I402" s="6" t="s">
        <v>802</v>
      </c>
    </row>
    <row r="403" spans="1:9" ht="15" x14ac:dyDescent="0.25">
      <c r="A403" s="1" t="s">
        <v>803</v>
      </c>
      <c r="B403" s="2">
        <f>HYPERLINK("https://www.omim.org/entry/600065",600065)</f>
        <v>600065</v>
      </c>
      <c r="C403" s="3">
        <f>HYPERLINK("https://www.omim.org/entry/116920",116920)</f>
        <v>116920</v>
      </c>
      <c r="I403" s="6" t="s">
        <v>804</v>
      </c>
    </row>
    <row r="404" spans="1:9" ht="15" x14ac:dyDescent="0.25">
      <c r="A404" s="1" t="s">
        <v>805</v>
      </c>
      <c r="B404" s="2">
        <f>HYPERLINK("https://www.omim.org/entry/173470",173470)</f>
        <v>173470</v>
      </c>
      <c r="C404" s="3">
        <f>HYPERLINK("https://www.omim.org/entry/619271",619271)</f>
        <v>619271</v>
      </c>
      <c r="D404" s="15">
        <f>HYPERLINK("https://www.omim.org/entry/619267",619267)</f>
        <v>619267</v>
      </c>
      <c r="I404" s="6" t="s">
        <v>806</v>
      </c>
    </row>
    <row r="405" spans="1:9" ht="15" x14ac:dyDescent="0.25">
      <c r="A405" s="1" t="s">
        <v>807</v>
      </c>
      <c r="B405" s="2">
        <f>HYPERLINK("https://www.omim.org/entry/186973",186973)</f>
        <v>186973</v>
      </c>
      <c r="C405" s="3">
        <f>HYPERLINK("https://www.omim.org/entry/613011",613011)</f>
        <v>613011</v>
      </c>
      <c r="I405" s="6" t="s">
        <v>808</v>
      </c>
    </row>
    <row r="406" spans="1:9" ht="15" x14ac:dyDescent="0.25">
      <c r="A406" s="1" t="s">
        <v>809</v>
      </c>
      <c r="B406" s="2">
        <f>HYPERLINK("https://www.omim.org/entry/607036",607036)</f>
        <v>607036</v>
      </c>
      <c r="C406" s="3">
        <f>HYPERLINK("https://www.omim.org/entry/243500",243500)</f>
        <v>243500</v>
      </c>
      <c r="I406" s="6" t="s">
        <v>810</v>
      </c>
    </row>
    <row r="407" spans="1:9" ht="15" x14ac:dyDescent="0.25">
      <c r="A407" s="1" t="s">
        <v>811</v>
      </c>
      <c r="B407" s="2">
        <f>HYPERLINK("https://www.omim.org/entry/612025",612025)</f>
        <v>612025</v>
      </c>
      <c r="C407" s="3">
        <f>HYPERLINK("https://www.omim.org/entry/274800",274800)</f>
        <v>274800</v>
      </c>
      <c r="I407" s="6" t="s">
        <v>812</v>
      </c>
    </row>
    <row r="408" spans="1:9" ht="15" x14ac:dyDescent="0.25">
      <c r="A408" s="1" t="s">
        <v>813</v>
      </c>
      <c r="B408" s="2">
        <f>HYPERLINK("https://www.omim.org/entry/600173",600173)</f>
        <v>600173</v>
      </c>
      <c r="C408" s="3">
        <f>HYPERLINK("https://www.omim.org/entry/600802",600802)</f>
        <v>600802</v>
      </c>
      <c r="I408" s="6" t="s">
        <v>814</v>
      </c>
    </row>
    <row r="409" spans="1:9" ht="15" x14ac:dyDescent="0.25">
      <c r="A409" s="1" t="s">
        <v>815</v>
      </c>
      <c r="B409" s="2">
        <f>HYPERLINK("https://www.omim.org/entry/152427",152427)</f>
        <v>152427</v>
      </c>
      <c r="C409" s="3">
        <f>HYPERLINK("https://www.omim.org/entry/609620",609620)</f>
        <v>609620</v>
      </c>
      <c r="I409" s="6" t="s">
        <v>816</v>
      </c>
    </row>
    <row r="410" spans="1:9" ht="15" x14ac:dyDescent="0.25">
      <c r="A410" s="1" t="s">
        <v>817</v>
      </c>
      <c r="B410" s="2">
        <f>HYPERLINK("https://www.omim.org/entry/600359",600359)</f>
        <v>600359</v>
      </c>
      <c r="C410" s="3">
        <f>HYPERLINK("https://www.omim.org/entry/241200",241200)</f>
        <v>241200</v>
      </c>
      <c r="I410" s="6" t="s">
        <v>818</v>
      </c>
    </row>
    <row r="411" spans="1:9" ht="15" x14ac:dyDescent="0.25">
      <c r="A411" s="1" t="s">
        <v>819</v>
      </c>
      <c r="B411" s="2">
        <f>HYPERLINK("https://www.omim.org/entry/602208",602208)</f>
        <v>602208</v>
      </c>
      <c r="C411" s="3">
        <f>HYPERLINK("https://www.omim.org/entry/612780",612780)</f>
        <v>612780</v>
      </c>
      <c r="I411" s="6" t="s">
        <v>820</v>
      </c>
    </row>
    <row r="412" spans="1:9" ht="15" x14ac:dyDescent="0.25">
      <c r="A412" s="1" t="s">
        <v>821</v>
      </c>
      <c r="B412" s="2">
        <f>HYPERLINK("https://www.omim.org/entry/600937",600937)</f>
        <v>600937</v>
      </c>
      <c r="C412" s="3">
        <f>HYPERLINK("https://www.omim.org/entry/618856",618856)</f>
        <v>618856</v>
      </c>
      <c r="D412" s="15">
        <f>HYPERLINK("https://www.omim.org/entry/616329",616329)</f>
        <v>616329</v>
      </c>
      <c r="E412" s="15">
        <f>HYPERLINK("https://www.omim.org/entry/610582",610582)</f>
        <v>610582</v>
      </c>
      <c r="F412" s="15">
        <f>HYPERLINK("https://www.omim.org/entry/601820",601820)</f>
        <v>601820</v>
      </c>
      <c r="I412" s="6" t="s">
        <v>822</v>
      </c>
    </row>
    <row r="413" spans="1:9" ht="15" x14ac:dyDescent="0.25">
      <c r="A413" s="1" t="s">
        <v>823</v>
      </c>
      <c r="B413" s="2">
        <f>HYPERLINK("https://www.omim.org/entry/600681",600681)</f>
        <v>600681</v>
      </c>
      <c r="C413" s="3">
        <f>HYPERLINK("https://www.omim.org/entry/609622",609622)</f>
        <v>609622</v>
      </c>
      <c r="I413" s="6" t="s">
        <v>824</v>
      </c>
    </row>
    <row r="414" spans="1:9" ht="15" x14ac:dyDescent="0.25">
      <c r="A414" s="1" t="s">
        <v>825</v>
      </c>
      <c r="B414" s="2">
        <f>HYPERLINK("https://www.omim.org/entry/607542",607542)</f>
        <v>607542</v>
      </c>
      <c r="C414" s="3">
        <f>HYPERLINK("https://www.omim.org/entry/192500",192500)</f>
        <v>192500</v>
      </c>
      <c r="D414" s="15">
        <f>HYPERLINK("https://www.omim.org/entry/220400",220400)</f>
        <v>220400</v>
      </c>
      <c r="I414" s="6" t="s">
        <v>826</v>
      </c>
    </row>
    <row r="415" spans="1:9" ht="15" x14ac:dyDescent="0.25">
      <c r="A415" s="1" t="s">
        <v>827</v>
      </c>
      <c r="B415" s="2">
        <f>HYPERLINK("https://www.omim.org/entry/602235",602235)</f>
        <v>602235</v>
      </c>
      <c r="C415" s="3">
        <f>HYPERLINK("https://www.omim.org/entry/613720",613720)</f>
        <v>613720</v>
      </c>
      <c r="I415" s="6" t="s">
        <v>828</v>
      </c>
    </row>
    <row r="416" spans="1:9" ht="15" x14ac:dyDescent="0.25">
      <c r="A416" s="1" t="s">
        <v>829</v>
      </c>
      <c r="B416" s="2">
        <f>HYPERLINK("https://www.omim.org/entry/605775",605775)</f>
        <v>605775</v>
      </c>
      <c r="C416" s="3">
        <f>HYPERLINK("https://www.omim.org/entry/614495",614495)</f>
        <v>614495</v>
      </c>
      <c r="I416" s="6" t="s">
        <v>830</v>
      </c>
    </row>
    <row r="417" spans="1:9" ht="15" x14ac:dyDescent="0.25">
      <c r="A417" s="1" t="s">
        <v>831</v>
      </c>
      <c r="B417" s="2">
        <f>HYPERLINK("https://www.omim.org/entry/190070",190070)</f>
        <v>190070</v>
      </c>
      <c r="C417" s="3">
        <f>HYPERLINK("https://www.omim.org/entry/609942",609942)</f>
        <v>609942</v>
      </c>
      <c r="I417" s="6" t="s">
        <v>832</v>
      </c>
    </row>
    <row r="418" spans="1:9" ht="15" x14ac:dyDescent="0.25">
      <c r="A418" s="1" t="s">
        <v>833</v>
      </c>
      <c r="B418" s="2">
        <f>HYPERLINK("https://www.omim.org/entry/309060",309060)</f>
        <v>309060</v>
      </c>
      <c r="C418" s="3">
        <f>HYPERLINK("https://www.omim.org/entry/300257",300257)</f>
        <v>300257</v>
      </c>
      <c r="I418" s="6" t="s">
        <v>834</v>
      </c>
    </row>
    <row r="419" spans="1:9" ht="15" x14ac:dyDescent="0.25">
      <c r="A419" s="1" t="s">
        <v>835</v>
      </c>
      <c r="B419" s="2">
        <f>HYPERLINK("https://www.omim.org/entry/602354",602354)</f>
        <v>602354</v>
      </c>
      <c r="C419" s="3">
        <f>HYPERLINK("https://www.omim.org/entry/617514",617514)</f>
        <v>617514</v>
      </c>
      <c r="I419" s="6" t="s">
        <v>836</v>
      </c>
    </row>
    <row r="420" spans="1:9" ht="15" x14ac:dyDescent="0.25">
      <c r="A420" s="1" t="s">
        <v>837</v>
      </c>
      <c r="B420" s="2">
        <f>HYPERLINK("https://www.omim.org/entry/153390",153390)</f>
        <v>153390</v>
      </c>
      <c r="C420" s="3">
        <f>HYPERLINK("https://www.omim.org/entry/615758",615758)</f>
        <v>615758</v>
      </c>
      <c r="I420" s="6" t="s">
        <v>838</v>
      </c>
    </row>
    <row r="421" spans="1:9" ht="15" x14ac:dyDescent="0.25">
      <c r="A421" s="1" t="s">
        <v>839</v>
      </c>
      <c r="B421" s="2">
        <f>HYPERLINK("https://www.omim.org/entry/606945",606945)</f>
        <v>606945</v>
      </c>
      <c r="C421" s="3">
        <f>HYPERLINK("https://www.omim.org/entry/143890",143890)</f>
        <v>143890</v>
      </c>
      <c r="I421" s="16" t="s">
        <v>840</v>
      </c>
    </row>
    <row r="422" spans="1:9" ht="15" x14ac:dyDescent="0.25">
      <c r="A422" s="17" t="s">
        <v>841</v>
      </c>
      <c r="B422" s="2">
        <f>HYPERLINK("https://www.omim.org/entry/605747",605747)</f>
        <v>605747</v>
      </c>
      <c r="C422" s="3">
        <f>HYPERLINK("https://www.omim.org/entry/603813",603813)</f>
        <v>603813</v>
      </c>
      <c r="I422" s="6" t="s">
        <v>842</v>
      </c>
    </row>
    <row r="423" spans="1:9" ht="15" x14ac:dyDescent="0.25">
      <c r="A423" s="1" t="s">
        <v>843</v>
      </c>
      <c r="B423" s="2">
        <f>HYPERLINK("https://www.omim.org/entry/164160",164160)</f>
        <v>164160</v>
      </c>
      <c r="C423" s="3">
        <f>HYPERLINK("https://www.omim.org/entry/614962",614962)</f>
        <v>614962</v>
      </c>
      <c r="I423" s="6" t="s">
        <v>844</v>
      </c>
    </row>
    <row r="424" spans="1:9" ht="15" x14ac:dyDescent="0.25">
      <c r="A424" s="1" t="s">
        <v>845</v>
      </c>
      <c r="B424" s="2">
        <f>HYPERLINK("https://www.omim.org/entry/601007",601007)</f>
        <v>601007</v>
      </c>
      <c r="C424" s="3">
        <f>HYPERLINK("https://www.omim.org/entry/614963",614963)</f>
        <v>614963</v>
      </c>
      <c r="I424" s="6" t="s">
        <v>846</v>
      </c>
    </row>
    <row r="425" spans="1:9" ht="15" x14ac:dyDescent="0.25">
      <c r="A425" s="1" t="s">
        <v>847</v>
      </c>
      <c r="B425" s="2">
        <f>HYPERLINK("https://www.omim.org/entry/609427",609427)</f>
        <v>609427</v>
      </c>
      <c r="C425" s="3">
        <f>HYPERLINK("https://www.omim.org/entry/610265",610265)</f>
        <v>610265</v>
      </c>
      <c r="I425" s="6" t="s">
        <v>848</v>
      </c>
    </row>
    <row r="426" spans="1:9" ht="15" x14ac:dyDescent="0.25">
      <c r="A426" s="1" t="s">
        <v>849</v>
      </c>
      <c r="B426" s="2">
        <f>HYPERLINK("https://www.omim.org/entry/600577",600577)</f>
        <v>600577</v>
      </c>
      <c r="C426" s="3">
        <f>HYPERLINK("https://www.omim.org/entry/221750",221750)</f>
        <v>221750</v>
      </c>
      <c r="I426" s="6" t="s">
        <v>850</v>
      </c>
    </row>
    <row r="427" spans="1:9" ht="15" x14ac:dyDescent="0.25">
      <c r="A427" s="1" t="s">
        <v>851</v>
      </c>
      <c r="B427" s="2">
        <f>HYPERLINK("https://www.omim.org/entry/602146",602146)</f>
        <v>602146</v>
      </c>
      <c r="C427" s="3">
        <f>HYPERLINK("https://www.omim.org/entry/262700",262700)</f>
        <v>262700</v>
      </c>
      <c r="I427" s="6" t="s">
        <v>852</v>
      </c>
    </row>
    <row r="428" spans="1:9" ht="15" x14ac:dyDescent="0.25">
      <c r="A428" s="1" t="s">
        <v>853</v>
      </c>
      <c r="B428" s="2">
        <f>HYPERLINK("https://www.omim.org/entry/126391",126391)</f>
        <v>126391</v>
      </c>
      <c r="C428" s="3">
        <f>HYPERLINK("https://www.omim.org/entry/619774",619774)</f>
        <v>619774</v>
      </c>
      <c r="I428" s="6" t="s">
        <v>854</v>
      </c>
    </row>
    <row r="429" spans="1:9" ht="15" x14ac:dyDescent="0.25">
      <c r="A429" s="1" t="s">
        <v>855</v>
      </c>
      <c r="B429" s="2">
        <f>HYPERLINK("https://www.omim.org/entry/601837",601837)</f>
        <v>601837</v>
      </c>
      <c r="C429" s="3">
        <f>HYPERLINK("https://www.omim.org/entry/606593",606593)</f>
        <v>606593</v>
      </c>
      <c r="I429" s="6" t="s">
        <v>856</v>
      </c>
    </row>
    <row r="430" spans="1:9" ht="15" x14ac:dyDescent="0.25">
      <c r="A430" s="1" t="s">
        <v>857</v>
      </c>
      <c r="B430" s="2">
        <f>HYPERLINK("https://www.omim.org/entry/613497",613497)</f>
        <v>613497</v>
      </c>
      <c r="C430" s="3">
        <f>HYPERLINK("https://www.omim.org/entry/620151",620151)</f>
        <v>620151</v>
      </c>
      <c r="D430" s="15">
        <f>HYPERLINK("https://www.omim.org/entry/278000",278000)</f>
        <v>278000</v>
      </c>
      <c r="I430" s="6" t="s">
        <v>858</v>
      </c>
    </row>
    <row r="431" spans="1:9" ht="15" x14ac:dyDescent="0.25">
      <c r="A431" s="1" t="s">
        <v>859</v>
      </c>
      <c r="B431" s="2">
        <f>HYPERLINK("https://www.omim.org/entry/612625",612625)</f>
        <v>612625</v>
      </c>
      <c r="C431" s="3">
        <f>HYPERLINK("https://www.omim.org/entry/277380",277380)</f>
        <v>277380</v>
      </c>
      <c r="I431" s="6" t="s">
        <v>860</v>
      </c>
    </row>
    <row r="432" spans="1:9" ht="15" x14ac:dyDescent="0.25">
      <c r="A432" s="1" t="s">
        <v>861</v>
      </c>
      <c r="B432" s="2">
        <f>HYPERLINK("https://www.omim.org/entry/611761",611761)</f>
        <v>611761</v>
      </c>
      <c r="C432" s="3">
        <f>HYPERLINK("https://www.omim.org/entry/246650",246650)</f>
        <v>246650</v>
      </c>
      <c r="I432" s="6" t="s">
        <v>862</v>
      </c>
    </row>
    <row r="433" spans="1:9" ht="15" x14ac:dyDescent="0.25">
      <c r="A433" s="1" t="s">
        <v>863</v>
      </c>
      <c r="B433" s="2">
        <f>HYPERLINK("https://www.omim.org/entry/150330",150330)</f>
        <v>150330</v>
      </c>
      <c r="C433" s="3">
        <f>HYPERLINK("https://www.omim.org/entry/619793",619793)</f>
        <v>619793</v>
      </c>
      <c r="D433" s="15">
        <f>HYPERLINK("https://www.omim.org/entry/212112",212112)</f>
        <v>212112</v>
      </c>
      <c r="I433" s="6" t="s">
        <v>864</v>
      </c>
    </row>
    <row r="434" spans="1:9" ht="15" x14ac:dyDescent="0.25">
      <c r="A434" s="1" t="s">
        <v>865</v>
      </c>
      <c r="B434" s="2">
        <f>HYPERLINK("https://www.omim.org/entry/613072",613072)</f>
        <v>613072</v>
      </c>
      <c r="C434" s="3">
        <f>HYPERLINK("https://www.omim.org/entry/613079",613079)</f>
        <v>613079</v>
      </c>
      <c r="I434" s="6" t="s">
        <v>866</v>
      </c>
    </row>
    <row r="435" spans="1:9" ht="15" x14ac:dyDescent="0.25">
      <c r="A435" s="1" t="s">
        <v>867</v>
      </c>
      <c r="B435" s="2">
        <f>HYPERLINK("https://www.omim.org/entry/605518",605518)</f>
        <v>605518</v>
      </c>
      <c r="C435" s="3">
        <f>HYPERLINK("https://www.omim.org/entry/268200",268200)</f>
        <v>268200</v>
      </c>
      <c r="I435" s="6" t="s">
        <v>868</v>
      </c>
    </row>
    <row r="436" spans="1:9" ht="15" x14ac:dyDescent="0.25">
      <c r="A436" s="1" t="s">
        <v>869</v>
      </c>
      <c r="B436" s="2">
        <f>HYPERLINK("https://www.omim.org/entry/609708",609708)</f>
        <v>609708</v>
      </c>
      <c r="C436" s="3">
        <f>HYPERLINK("https://www.omim.org/entry/238600",238600)</f>
        <v>238600</v>
      </c>
      <c r="I436" s="6" t="s">
        <v>870</v>
      </c>
    </row>
    <row r="437" spans="1:9" ht="15" x14ac:dyDescent="0.25">
      <c r="A437" s="1" t="s">
        <v>871</v>
      </c>
      <c r="B437" s="2">
        <f>HYPERLINK("https://www.omim.org/entry/603506",603506)</f>
        <v>603506</v>
      </c>
      <c r="C437" s="3">
        <f>HYPERLINK("https://www.omim.org/entry/259770",259770)</f>
        <v>259770</v>
      </c>
      <c r="I437" s="6" t="s">
        <v>872</v>
      </c>
    </row>
    <row r="438" spans="1:9" ht="15" x14ac:dyDescent="0.25">
      <c r="A438" s="1" t="s">
        <v>873</v>
      </c>
      <c r="B438" s="2">
        <f>HYPERLINK("https://www.omim.org/entry/608360",608360)</f>
        <v>608360</v>
      </c>
      <c r="C438" s="3">
        <f>HYPERLINK("https://www.omim.org/entry/613506",613506)</f>
        <v>613506</v>
      </c>
      <c r="I438" s="6" t="s">
        <v>874</v>
      </c>
    </row>
    <row r="439" spans="1:9" ht="15" x14ac:dyDescent="0.25">
      <c r="A439" s="1" t="s">
        <v>875</v>
      </c>
      <c r="B439" s="2">
        <f>HYPERLINK("https://www.omim.org/entry/612414",612414)</f>
        <v>612414</v>
      </c>
      <c r="C439" s="3">
        <f>HYPERLINK("https://www.omim.org/entry/611451",611451)</f>
        <v>611451</v>
      </c>
      <c r="I439" s="6" t="s">
        <v>876</v>
      </c>
    </row>
    <row r="440" spans="1:9" ht="15" x14ac:dyDescent="0.25">
      <c r="A440" s="1" t="s">
        <v>877</v>
      </c>
      <c r="B440" s="2">
        <f>HYPERLINK("https://www.omim.org/entry/604710",604710)</f>
        <v>604710</v>
      </c>
      <c r="C440" s="3">
        <f>HYPERLINK("https://www.omim.org/entry/613177",613177)</f>
        <v>613177</v>
      </c>
      <c r="I440" s="6" t="s">
        <v>878</v>
      </c>
    </row>
    <row r="441" spans="1:9" ht="15" x14ac:dyDescent="0.25">
      <c r="A441" s="1" t="s">
        <v>879</v>
      </c>
      <c r="B441" s="2">
        <f>HYPERLINK("https://www.omim.org/entry/606897",606897)</f>
        <v>606897</v>
      </c>
      <c r="C441" s="3">
        <f>HYPERLINK("https://www.omim.org/entry/214500",214500)</f>
        <v>214500</v>
      </c>
      <c r="I441" s="6" t="s">
        <v>880</v>
      </c>
    </row>
    <row r="442" spans="1:9" ht="15" x14ac:dyDescent="0.25">
      <c r="A442" s="1" t="s">
        <v>881</v>
      </c>
      <c r="B442" s="2">
        <f>HYPERLINK("https://www.omim.org/entry/600574",600574)</f>
        <v>600574</v>
      </c>
      <c r="C442" s="3">
        <f>HYPERLINK("https://www.omim.org/entry/605275",605275)</f>
        <v>605275</v>
      </c>
      <c r="I442" s="6" t="s">
        <v>882</v>
      </c>
    </row>
    <row r="443" spans="1:9" ht="15" x14ac:dyDescent="0.25">
      <c r="A443" s="1" t="s">
        <v>883</v>
      </c>
      <c r="B443" s="2">
        <f>HYPERLINK("https://www.omim.org/entry/300470",300470)</f>
        <v>300470</v>
      </c>
      <c r="C443" s="3">
        <f>HYPERLINK("https://www.omim.org/entry/300971",300971)</f>
        <v>300971</v>
      </c>
      <c r="I443" s="6" t="s">
        <v>884</v>
      </c>
    </row>
    <row r="444" spans="1:9" ht="19.5" customHeight="1" x14ac:dyDescent="0.25">
      <c r="A444" s="1" t="s">
        <v>885</v>
      </c>
      <c r="B444" s="2">
        <f>HYPERLINK("https://www.omim.org/entry/300715",300715)</f>
        <v>300715</v>
      </c>
      <c r="C444" s="3">
        <f>HYPERLINK("https://www.omim.org/entry/300853",300853)</f>
        <v>300853</v>
      </c>
      <c r="I444" s="16" t="s">
        <v>886</v>
      </c>
    </row>
    <row r="445" spans="1:9" ht="15" x14ac:dyDescent="0.25">
      <c r="A445" s="1" t="s">
        <v>887</v>
      </c>
      <c r="B445" s="2">
        <f>HYPERLINK("https://www.omim.org/entry/609458",609458)</f>
        <v>609458</v>
      </c>
      <c r="C445" s="3">
        <f>HYPERLINK("https://www.omim.org/entry/248500",248500)</f>
        <v>248500</v>
      </c>
      <c r="I445" s="6" t="s">
        <v>888</v>
      </c>
    </row>
    <row r="446" spans="1:9" ht="15" x14ac:dyDescent="0.25">
      <c r="A446" s="1" t="s">
        <v>889</v>
      </c>
      <c r="B446" s="2">
        <f>HYPERLINK("https://www.omim.org/entry/176872",176872)</f>
        <v>176872</v>
      </c>
      <c r="C446" s="3">
        <f>HYPERLINK("https://www.omim.org/entry/615279",615279)</f>
        <v>615279</v>
      </c>
      <c r="I446" s="6" t="s">
        <v>890</v>
      </c>
    </row>
    <row r="447" spans="1:9" ht="15" x14ac:dyDescent="0.25">
      <c r="A447" s="1" t="s">
        <v>891</v>
      </c>
      <c r="B447" s="2">
        <f>HYPERLINK("https://www.omim.org/entry/610572",610572)</f>
        <v>610572</v>
      </c>
      <c r="C447" s="3">
        <f>HYPERLINK("https://www.omim.org/entry/610153",610153)</f>
        <v>610153</v>
      </c>
      <c r="I447" s="6" t="s">
        <v>892</v>
      </c>
    </row>
    <row r="448" spans="1:9" ht="15" x14ac:dyDescent="0.25">
      <c r="A448" s="1" t="s">
        <v>893</v>
      </c>
      <c r="B448" s="2">
        <f>HYPERLINK("https://www.omim.org/entry/607397",607397)</f>
        <v>607397</v>
      </c>
      <c r="C448" s="3">
        <f>HYPERLINK("https://www.omim.org/entry/202200",202200)</f>
        <v>202200</v>
      </c>
      <c r="I448" s="6" t="s">
        <v>894</v>
      </c>
    </row>
    <row r="449" spans="1:9" ht="15" x14ac:dyDescent="0.25">
      <c r="A449" s="1" t="s">
        <v>895</v>
      </c>
      <c r="B449" s="2">
        <f>HYPERLINK("https://www.omim.org/entry/608419",608419)</f>
        <v>608419</v>
      </c>
      <c r="C449" s="3">
        <f>HYPERLINK("https://www.omim.org/entry/251120",251120)</f>
        <v>251120</v>
      </c>
      <c r="I449" s="6" t="s">
        <v>896</v>
      </c>
    </row>
    <row r="450" spans="1:9" ht="15" x14ac:dyDescent="0.25">
      <c r="A450" s="1" t="s">
        <v>897</v>
      </c>
      <c r="B450" s="2">
        <f>HYPERLINK("https://www.omim.org/entry/614086",614086)</f>
        <v>614086</v>
      </c>
      <c r="C450" s="3">
        <f>HYPERLINK("https://www.omim.org/entry/618695",618695)</f>
        <v>618695</v>
      </c>
      <c r="I450" s="6" t="s">
        <v>898</v>
      </c>
    </row>
    <row r="451" spans="1:9" ht="15" x14ac:dyDescent="0.25">
      <c r="A451" s="1" t="s">
        <v>899</v>
      </c>
      <c r="B451" s="2">
        <f>HYPERLINK("https://www.omim.org/entry/602638",602638)</f>
        <v>602638</v>
      </c>
      <c r="C451" s="3">
        <f>HYPERLINK("https://www.omim.org/entry/609981",609981)</f>
        <v>609981</v>
      </c>
      <c r="I451" s="6" t="s">
        <v>900</v>
      </c>
    </row>
    <row r="452" spans="1:9" ht="15" x14ac:dyDescent="0.25">
      <c r="A452" s="1" t="s">
        <v>901</v>
      </c>
      <c r="B452" s="2">
        <f>HYPERLINK("https://www.omim.org/entry/605248",605248)</f>
        <v>605248</v>
      </c>
      <c r="C452" s="3">
        <f>HYPERLINK("https://www.omim.org/entry/252650",252650)</f>
        <v>252650</v>
      </c>
      <c r="I452" s="6" t="s">
        <v>902</v>
      </c>
    </row>
    <row r="453" spans="1:9" ht="15" x14ac:dyDescent="0.25">
      <c r="A453" s="1" t="s">
        <v>903</v>
      </c>
      <c r="B453" s="2">
        <f>HYPERLINK("https://www.omim.org/entry/156845",156845)</f>
        <v>156845</v>
      </c>
      <c r="C453" s="3">
        <f>HYPERLINK("https://www.omim.org/entry/193510",193510)</f>
        <v>193510</v>
      </c>
      <c r="I453" s="6" t="s">
        <v>904</v>
      </c>
    </row>
    <row r="454" spans="1:9" ht="15" x14ac:dyDescent="0.25">
      <c r="A454" s="1" t="s">
        <v>905</v>
      </c>
      <c r="B454" s="2">
        <f>HYPERLINK("https://www.omim.org/entry/606761",606761)</f>
        <v>606761</v>
      </c>
      <c r="C454" s="3">
        <f>HYPERLINK("https://www.omim.org/entry/248360",248360)</f>
        <v>248360</v>
      </c>
      <c r="I454" s="6" t="s">
        <v>906</v>
      </c>
    </row>
    <row r="455" spans="1:9" ht="15" x14ac:dyDescent="0.25">
      <c r="A455" s="1" t="s">
        <v>907</v>
      </c>
      <c r="B455" s="2">
        <f>HYPERLINK("https://www.omim.org/entry/607481",607481)</f>
        <v>607481</v>
      </c>
      <c r="C455" s="3">
        <f>HYPERLINK("https://www.omim.org/entry/251100",251100)</f>
        <v>251100</v>
      </c>
      <c r="I455" s="6" t="s">
        <v>908</v>
      </c>
    </row>
    <row r="456" spans="1:9" ht="15" x14ac:dyDescent="0.25">
      <c r="A456" s="1" t="s">
        <v>909</v>
      </c>
      <c r="B456" s="2">
        <f>HYPERLINK("https://www.omim.org/entry/607568",607568)</f>
        <v>607568</v>
      </c>
      <c r="C456" s="3">
        <f>HYPERLINK("https://www.omim.org/entry/251110",251110)</f>
        <v>251110</v>
      </c>
      <c r="I456" s="6" t="s">
        <v>910</v>
      </c>
    </row>
    <row r="457" spans="1:9" ht="15" x14ac:dyDescent="0.25">
      <c r="A457" s="1" t="s">
        <v>911</v>
      </c>
      <c r="B457" s="2">
        <f>HYPERLINK("https://www.omim.org/entry/609831",609831)</f>
        <v>609831</v>
      </c>
      <c r="C457" s="3">
        <f>HYPERLINK("https://www.omim.org/entry/277400",277400)</f>
        <v>277400</v>
      </c>
      <c r="I457" s="6" t="s">
        <v>912</v>
      </c>
    </row>
    <row r="458" spans="1:9" ht="15" x14ac:dyDescent="0.25">
      <c r="A458" s="1" t="s">
        <v>913</v>
      </c>
      <c r="B458" s="2">
        <f>HYPERLINK("https://www.omim.org/entry/611935",611935)</f>
        <v>611935</v>
      </c>
      <c r="C458" s="3">
        <f>HYPERLINK("https://www.omim.org/entry/277410",277410)</f>
        <v>277410</v>
      </c>
      <c r="D458" s="15">
        <f>HYPERLINK("https://www.omim.org/entry/620953",620953)</f>
        <v>620953</v>
      </c>
      <c r="E458" s="15">
        <f>HYPERLINK("https://www.omim.org/entry/620952",620952)</f>
        <v>620952</v>
      </c>
      <c r="I458" s="6" t="s">
        <v>914</v>
      </c>
    </row>
    <row r="459" spans="1:9" ht="15" x14ac:dyDescent="0.25">
      <c r="A459" s="1" t="s">
        <v>915</v>
      </c>
      <c r="B459" s="2">
        <f>HYPERLINK("https://www.omim.org/entry/609058",609058)</f>
        <v>609058</v>
      </c>
      <c r="C459" s="3">
        <f>HYPERLINK("https://www.omim.org/entry/251000",251000)</f>
        <v>251000</v>
      </c>
      <c r="I459" s="6" t="s">
        <v>916</v>
      </c>
    </row>
    <row r="460" spans="1:9" ht="15" x14ac:dyDescent="0.25">
      <c r="A460" s="1" t="s">
        <v>917</v>
      </c>
      <c r="B460" s="2">
        <f>HYPERLINK("https://www.omim.org/entry/603707",603707)</f>
        <v>603707</v>
      </c>
      <c r="C460" s="3">
        <f>HYPERLINK("https://www.omim.org/entry/252150",252150)</f>
        <v>252150</v>
      </c>
      <c r="I460" s="6" t="s">
        <v>918</v>
      </c>
    </row>
    <row r="461" spans="1:9" ht="15" x14ac:dyDescent="0.25">
      <c r="A461" s="1" t="s">
        <v>919</v>
      </c>
      <c r="B461" s="2">
        <f>HYPERLINK("https://www.omim.org/entry/603708",603708)</f>
        <v>603708</v>
      </c>
      <c r="C461" s="3">
        <f>HYPERLINK("https://www.omim.org/entry/252160",252160)</f>
        <v>252160</v>
      </c>
      <c r="I461" s="6" t="s">
        <v>920</v>
      </c>
    </row>
    <row r="462" spans="1:9" ht="15" x14ac:dyDescent="0.25">
      <c r="A462" s="1" t="s">
        <v>921</v>
      </c>
      <c r="B462" s="2">
        <f>HYPERLINK("https://www.omim.org/entry/154550",154550)</f>
        <v>154550</v>
      </c>
      <c r="C462" s="3">
        <f>HYPERLINK("https://www.omim.org/entry/602579",602579)</f>
        <v>602579</v>
      </c>
      <c r="I462" s="6" t="s">
        <v>922</v>
      </c>
    </row>
    <row r="463" spans="1:9" ht="15" x14ac:dyDescent="0.25">
      <c r="A463" s="1" t="s">
        <v>923</v>
      </c>
      <c r="B463" s="2">
        <f>HYPERLINK("https://www.omim.org/entry/609196",609196)</f>
        <v>609196</v>
      </c>
      <c r="C463" s="3">
        <f>HYPERLINK("https://www.omim.org/entry/607398",607398)</f>
        <v>607398</v>
      </c>
      <c r="I463" s="6" t="s">
        <v>924</v>
      </c>
    </row>
    <row r="464" spans="1:9" ht="15" x14ac:dyDescent="0.25">
      <c r="A464" s="1" t="s">
        <v>925</v>
      </c>
      <c r="B464" s="2">
        <f>HYPERLINK("https://www.omim.org/entry/112210",112210)</f>
        <v>112210</v>
      </c>
      <c r="C464" s="3">
        <f>HYPERLINK("https://www.omim.org/entry/613495",613495)</f>
        <v>613495</v>
      </c>
      <c r="I464" s="6" t="s">
        <v>926</v>
      </c>
    </row>
    <row r="465" spans="1:9" ht="15" x14ac:dyDescent="0.25">
      <c r="A465" s="1" t="s">
        <v>927</v>
      </c>
      <c r="B465" s="2">
        <f>HYPERLINK("https://www.omim.org/entry/613719",613719)</f>
        <v>613719</v>
      </c>
      <c r="C465" s="3">
        <f>HYPERLINK("https://www.omim.org/entry/613718",613718)</f>
        <v>613718</v>
      </c>
      <c r="I465" s="6" t="s">
        <v>928</v>
      </c>
    </row>
    <row r="466" spans="1:9" ht="15" x14ac:dyDescent="0.25">
      <c r="A466" s="1" t="s">
        <v>929</v>
      </c>
      <c r="B466" s="2">
        <f>HYPERLINK("https://www.omim.org/entry/172460",172460)</f>
        <v>172460</v>
      </c>
      <c r="C466" s="3">
        <f>HYPERLINK("https://www.omim.org/entry/617780",617780)</f>
        <v>617780</v>
      </c>
      <c r="I466" s="6" t="s">
        <v>930</v>
      </c>
    </row>
    <row r="467" spans="1:9" ht="15" x14ac:dyDescent="0.25">
      <c r="A467" s="1" t="s">
        <v>931</v>
      </c>
      <c r="B467" s="2">
        <f>HYPERLINK("https://www.omim.org/entry/607093",607093)</f>
        <v>607093</v>
      </c>
      <c r="C467" s="3">
        <f>HYPERLINK("https://www.omim.org/entry/236250",236250)</f>
        <v>236250</v>
      </c>
      <c r="I467" s="6" t="s">
        <v>932</v>
      </c>
    </row>
    <row r="468" spans="1:9" ht="15" x14ac:dyDescent="0.25">
      <c r="A468" s="1" t="s">
        <v>933</v>
      </c>
      <c r="B468" s="2">
        <f>HYPERLINK("https://www.omim.org/entry/156570",156570)</f>
        <v>156570</v>
      </c>
      <c r="C468" s="3">
        <f>HYPERLINK("https://www.omim.org/entry/250940",250940)</f>
        <v>250940</v>
      </c>
      <c r="I468" s="6" t="s">
        <v>934</v>
      </c>
    </row>
    <row r="469" spans="1:9" ht="15" x14ac:dyDescent="0.25">
      <c r="A469" s="1" t="s">
        <v>935</v>
      </c>
      <c r="B469" s="2">
        <f>HYPERLINK("https://www.omim.org/entry/602568",602568)</f>
        <v>602568</v>
      </c>
      <c r="C469" s="3">
        <f>HYPERLINK("https://www.omim.org/entry/236270",236270)</f>
        <v>236270</v>
      </c>
      <c r="I469" s="6" t="s">
        <v>936</v>
      </c>
    </row>
    <row r="470" spans="1:9" ht="15" x14ac:dyDescent="0.25">
      <c r="A470" s="1" t="s">
        <v>937</v>
      </c>
      <c r="B470" s="2">
        <f>HYPERLINK("https://www.omim.org/entry/157147",157147)</f>
        <v>157147</v>
      </c>
      <c r="C470" s="3">
        <f>HYPERLINK("https://www.omim.org/entry/200100",200100)</f>
        <v>200100</v>
      </c>
      <c r="I470" s="6" t="s">
        <v>938</v>
      </c>
    </row>
    <row r="471" spans="1:9" ht="15" x14ac:dyDescent="0.25">
      <c r="A471" s="1" t="s">
        <v>939</v>
      </c>
      <c r="B471" s="2">
        <f>HYPERLINK("https://www.omim.org/entry/601296",601296)</f>
        <v>601296</v>
      </c>
      <c r="C471" s="3">
        <f>HYPERLINK("https://www.omim.org/entry/616325",616325)</f>
        <v>616325</v>
      </c>
      <c r="I471" s="6" t="s">
        <v>940</v>
      </c>
    </row>
    <row r="472" spans="1:9" ht="15" x14ac:dyDescent="0.25">
      <c r="A472" s="1" t="s">
        <v>941</v>
      </c>
      <c r="B472" s="2">
        <f>HYPERLINK("https://www.omim.org/entry/600958",600958)</f>
        <v>600958</v>
      </c>
      <c r="C472" s="3">
        <f>HYPERLINK("https://www.omim.org/entry/615396",615396)</f>
        <v>615396</v>
      </c>
      <c r="I472" s="6" t="s">
        <v>942</v>
      </c>
    </row>
    <row r="473" spans="1:9" ht="15" x14ac:dyDescent="0.25">
      <c r="A473" s="1" t="s">
        <v>943</v>
      </c>
      <c r="B473" s="2">
        <f>HYPERLINK("https://www.omim.org/entry/602170",602170)</f>
        <v>602170</v>
      </c>
      <c r="C473" s="3">
        <f>HYPERLINK("https://www.omim.org/entry/612260",612260)</f>
        <v>612260</v>
      </c>
      <c r="I473" s="6" t="s">
        <v>944</v>
      </c>
    </row>
    <row r="474" spans="1:9" ht="15" x14ac:dyDescent="0.25">
      <c r="A474" s="1" t="s">
        <v>945</v>
      </c>
      <c r="B474" s="2">
        <f>HYPERLINK("https://www.omim.org/entry/160760",160760)</f>
        <v>160760</v>
      </c>
      <c r="C474" s="3">
        <f>HYPERLINK("https://www.omim.org/entry/192600",192600)</f>
        <v>192600</v>
      </c>
      <c r="I474" s="6" t="s">
        <v>946</v>
      </c>
    </row>
    <row r="475" spans="1:9" ht="15" x14ac:dyDescent="0.25">
      <c r="A475" s="1" t="s">
        <v>947</v>
      </c>
      <c r="B475" s="2">
        <f>HYPERLINK("https://www.omim.org/entry/602666",602666)</f>
        <v>602666</v>
      </c>
      <c r="C475" s="3">
        <f>HYPERLINK("https://www.omim.org/entry/600316",600316)</f>
        <v>600316</v>
      </c>
      <c r="I475" s="6" t="s">
        <v>948</v>
      </c>
    </row>
    <row r="476" spans="1:9" ht="15" x14ac:dyDescent="0.25">
      <c r="A476" s="1" t="s">
        <v>949</v>
      </c>
      <c r="B476" s="2">
        <f>HYPERLINK("https://www.omim.org/entry/600970",600970)</f>
        <v>600970</v>
      </c>
      <c r="C476" s="3">
        <f>HYPERLINK("https://www.omim.org/entry/607821",607821)</f>
        <v>607821</v>
      </c>
      <c r="I476" s="6" t="s">
        <v>950</v>
      </c>
    </row>
    <row r="477" spans="1:9" ht="15" x14ac:dyDescent="0.25">
      <c r="A477" s="1" t="s">
        <v>951</v>
      </c>
      <c r="B477" s="2">
        <f>HYPERLINK("https://www.omim.org/entry/276903",276903)</f>
        <v>276903</v>
      </c>
      <c r="C477" s="3">
        <f>HYPERLINK("https://www.omim.org/entry/600060",600060)</f>
        <v>600060</v>
      </c>
      <c r="D477" s="15">
        <f>HYPERLINK("https://www.omim.org/entry/276900",276900)</f>
        <v>276900</v>
      </c>
      <c r="I477" s="6" t="s">
        <v>952</v>
      </c>
    </row>
    <row r="478" spans="1:9" ht="15" x14ac:dyDescent="0.25">
      <c r="A478" s="1" t="s">
        <v>953</v>
      </c>
      <c r="B478" s="2">
        <f>HYPERLINK("https://www.omim.org/entry/608300",608300)</f>
        <v>608300</v>
      </c>
      <c r="C478" s="3">
        <f>HYPERLINK("https://www.omim.org/entry/237310",237310)</f>
        <v>237310</v>
      </c>
      <c r="I478" s="6" t="s">
        <v>954</v>
      </c>
    </row>
    <row r="479" spans="1:9" ht="15" x14ac:dyDescent="0.25">
      <c r="A479" s="1" t="s">
        <v>955</v>
      </c>
      <c r="B479" s="2">
        <f>HYPERLINK("https://www.omim.org/entry/614169",614169)</f>
        <v>614169</v>
      </c>
      <c r="C479" s="3">
        <f>HYPERLINK("https://www.omim.org/entry/139090",139090)</f>
        <v>139090</v>
      </c>
      <c r="I479" s="6" t="s">
        <v>956</v>
      </c>
    </row>
    <row r="480" spans="1:9" ht="15" x14ac:dyDescent="0.25">
      <c r="A480" s="1" t="s">
        <v>957</v>
      </c>
      <c r="B480" s="2">
        <f>HYPERLINK("https://www.omim.org/entry/602667",602667)</f>
        <v>602667</v>
      </c>
      <c r="C480" s="3">
        <f>HYPERLINK("https://www.omim.org/entry/251260",251260)</f>
        <v>251260</v>
      </c>
      <c r="I480" s="6" t="s">
        <v>958</v>
      </c>
    </row>
    <row r="481" spans="1:9" ht="15" x14ac:dyDescent="0.25">
      <c r="A481" s="1" t="s">
        <v>959</v>
      </c>
      <c r="B481" s="2">
        <f>HYPERLINK("https://www.omim.org/entry/608515",608515)</f>
        <v>608515</v>
      </c>
      <c r="C481" s="3">
        <f>HYPERLINK("https://www.omim.org/entry/233710",233710)</f>
        <v>233710</v>
      </c>
      <c r="I481" s="6" t="s">
        <v>960</v>
      </c>
    </row>
    <row r="482" spans="1:9" ht="15" x14ac:dyDescent="0.25">
      <c r="A482" s="1" t="s">
        <v>961</v>
      </c>
      <c r="B482" s="2">
        <f>HYPERLINK("https://www.omim.org/entry/601488",601488)</f>
        <v>601488</v>
      </c>
      <c r="C482" s="3">
        <f>HYPERLINK("https://www.omim.org/entry/613960",613960)</f>
        <v>613960</v>
      </c>
      <c r="I482" s="6" t="s">
        <v>962</v>
      </c>
    </row>
    <row r="483" spans="1:9" ht="15" x14ac:dyDescent="0.25">
      <c r="A483" s="1" t="s">
        <v>963</v>
      </c>
      <c r="B483" s="2">
        <f>HYPERLINK("https://www.omim.org/entry/604882",604882)</f>
        <v>604882</v>
      </c>
      <c r="C483" s="3">
        <f>HYPERLINK("https://www.omim.org/entry/610370",610370)</f>
        <v>610370</v>
      </c>
      <c r="I483" s="6" t="s">
        <v>964</v>
      </c>
    </row>
    <row r="484" spans="1:9" ht="15" x14ac:dyDescent="0.25">
      <c r="A484" s="1" t="s">
        <v>965</v>
      </c>
      <c r="B484" s="2">
        <f>HYPERLINK("https://www.omim.org/entry/164012",164012)</f>
        <v>164012</v>
      </c>
      <c r="C484" s="3">
        <f>HYPERLINK("https://www.omim.org/entry/615577",615577)</f>
        <v>615577</v>
      </c>
      <c r="I484" s="6" t="s">
        <v>966</v>
      </c>
    </row>
    <row r="485" spans="1:9" ht="15" x14ac:dyDescent="0.25">
      <c r="A485" s="1" t="s">
        <v>967</v>
      </c>
      <c r="B485" s="2">
        <f>HYPERLINK("https://www.omim.org/entry/164008",164008)</f>
        <v>164008</v>
      </c>
      <c r="C485" s="3">
        <f>HYPERLINK("https://www.omim.org/entry/612132",612132)</f>
        <v>612132</v>
      </c>
      <c r="I485" s="6" t="s">
        <v>968</v>
      </c>
    </row>
    <row r="486" spans="1:9" ht="15" x14ac:dyDescent="0.25">
      <c r="A486" s="1" t="s">
        <v>969</v>
      </c>
      <c r="B486" s="2">
        <f>HYPERLINK("https://www.omim.org/entry/611290",611290)</f>
        <v>611290</v>
      </c>
      <c r="C486" s="3">
        <f>HYPERLINK("https://www.omim.org/entry/611291",611291)</f>
        <v>611291</v>
      </c>
      <c r="I486" s="6" t="s">
        <v>970</v>
      </c>
    </row>
    <row r="487" spans="1:9" ht="15" x14ac:dyDescent="0.25">
      <c r="A487" s="1" t="s">
        <v>971</v>
      </c>
      <c r="B487" s="2">
        <f>HYPERLINK("https://www.omim.org/entry/600635",600635)</f>
        <v>600635</v>
      </c>
      <c r="C487" s="3">
        <f>HYPERLINK("https://www.omim.org/entry/610978",610978)</f>
        <v>610978</v>
      </c>
      <c r="I487" s="6" t="s">
        <v>972</v>
      </c>
    </row>
    <row r="488" spans="1:9" ht="15" x14ac:dyDescent="0.25">
      <c r="A488" s="1" t="s">
        <v>973</v>
      </c>
      <c r="B488" s="2">
        <f>HYPERLINK("https://www.omim.org/entry/600584",600584)</f>
        <v>600584</v>
      </c>
      <c r="C488" s="3">
        <f>HYPERLINK("https://www.omim.org/entry/225250",225250)</f>
        <v>225250</v>
      </c>
      <c r="I488" s="6" t="s">
        <v>974</v>
      </c>
    </row>
    <row r="489" spans="1:9" ht="15" x14ac:dyDescent="0.25">
      <c r="A489" s="1" t="s">
        <v>975</v>
      </c>
      <c r="B489" s="2">
        <f>HYPERLINK("https://www.omim.org/entry/606416",606416)</f>
        <v>606416</v>
      </c>
      <c r="C489" s="3">
        <f>HYPERLINK("https://www.omim.org/entry/607115",607115)</f>
        <v>607115</v>
      </c>
      <c r="D489" s="15">
        <f>HYPERLINK("https://www.omim.org/entry/120100",120100)</f>
        <v>120100</v>
      </c>
      <c r="E489" s="15">
        <f>HYPERLINK("https://www.omim.org/entry/191900",191900)</f>
        <v>191900</v>
      </c>
      <c r="I489" s="6" t="s">
        <v>976</v>
      </c>
    </row>
    <row r="490" spans="1:9" ht="15" x14ac:dyDescent="0.25">
      <c r="A490" s="24" t="s">
        <v>977</v>
      </c>
      <c r="B490" s="25">
        <f>HYPERLINK("https://www.omim.org/entry/607878",607878)</f>
        <v>607878</v>
      </c>
      <c r="C490" s="26">
        <f>HYPERLINK("https://www.omim.org/entry/614736",614736)</f>
        <v>614736</v>
      </c>
      <c r="I490" s="6" t="s">
        <v>978</v>
      </c>
    </row>
    <row r="491" spans="1:9" ht="15" x14ac:dyDescent="0.25">
      <c r="A491" s="1" t="s">
        <v>979</v>
      </c>
      <c r="B491" s="2">
        <f>HYPERLINK("https://www.omim.org/entry/601265",601265)</f>
        <v>601265</v>
      </c>
      <c r="C491" s="3">
        <f>HYPERLINK("https://www.omim.org/entry/270100",270100)</f>
        <v>270100</v>
      </c>
      <c r="I491" s="6" t="s">
        <v>980</v>
      </c>
    </row>
    <row r="492" spans="1:9" ht="15" x14ac:dyDescent="0.25">
      <c r="A492" s="1" t="s">
        <v>981</v>
      </c>
      <c r="B492" s="2">
        <f>HYPERLINK("https://www.omim.org/entry/607623",607623)</f>
        <v>607623</v>
      </c>
      <c r="C492" s="3">
        <f>HYPERLINK("https://www.omim.org/entry/257220",257220)</f>
        <v>257220</v>
      </c>
      <c r="I492" s="6" t="s">
        <v>982</v>
      </c>
    </row>
    <row r="493" spans="1:9" ht="15" x14ac:dyDescent="0.25">
      <c r="A493" s="1" t="s">
        <v>983</v>
      </c>
      <c r="B493" s="2">
        <f>HYPERLINK("https://www.omim.org/entry/601015",601015)</f>
        <v>601015</v>
      </c>
      <c r="C493" s="3">
        <f>HYPERLINK("https://www.omim.org/entry/607625",607625)</f>
        <v>607625</v>
      </c>
      <c r="I493" s="6" t="s">
        <v>984</v>
      </c>
    </row>
    <row r="494" spans="1:9" ht="15" x14ac:dyDescent="0.25">
      <c r="A494" s="1" t="s">
        <v>985</v>
      </c>
      <c r="B494" s="2">
        <f>HYPERLINK("https://www.omim.org/entry/300473",300473)</f>
        <v>300473</v>
      </c>
      <c r="C494" s="3">
        <f>HYPERLINK("https://www.omim.org/entry/300200",300200)</f>
        <v>300200</v>
      </c>
      <c r="I494" s="6" t="s">
        <v>986</v>
      </c>
    </row>
    <row r="495" spans="1:9" ht="15" x14ac:dyDescent="0.25">
      <c r="A495" s="1" t="s">
        <v>987</v>
      </c>
      <c r="B495" s="2">
        <f>HYPERLINK("https://www.omim.org/entry/600983",600983)</f>
        <v>600983</v>
      </c>
      <c r="C495" s="3">
        <f>HYPERLINK("https://www.omim.org/entry/177735",177735)</f>
        <v>177735</v>
      </c>
      <c r="I495" s="6" t="s">
        <v>988</v>
      </c>
    </row>
    <row r="496" spans="1:9" ht="15" x14ac:dyDescent="0.25">
      <c r="A496" s="1" t="s">
        <v>989</v>
      </c>
      <c r="B496" s="2">
        <f>HYPERLINK("https://www.omim.org/entry/164790",164790)</f>
        <v>164790</v>
      </c>
      <c r="C496" s="3">
        <f>HYPERLINK("https://www.omim.org/entry/613224",613224)</f>
        <v>613224</v>
      </c>
      <c r="I496" s="6" t="s">
        <v>990</v>
      </c>
    </row>
    <row r="497" spans="1:9" ht="15" x14ac:dyDescent="0.25">
      <c r="A497" s="1" t="s">
        <v>991</v>
      </c>
      <c r="B497" s="2">
        <f>HYPERLINK("https://www.omim.org/entry/164350",164350)</f>
        <v>164350</v>
      </c>
      <c r="C497" s="3">
        <f>HYPERLINK("https://www.omim.org/entry/618042",618042)</f>
        <v>618042</v>
      </c>
      <c r="I497" s="6" t="s">
        <v>992</v>
      </c>
    </row>
    <row r="498" spans="1:9" ht="15" x14ac:dyDescent="0.25">
      <c r="A498" s="1" t="s">
        <v>993</v>
      </c>
      <c r="B498" s="2">
        <f>HYPERLINK("https://www.omim.org/entry/613349",613349)</f>
        <v>613349</v>
      </c>
      <c r="C498" s="3">
        <f>HYPERLINK("https://www.omim.org/entry/258870",258870)</f>
        <v>258870</v>
      </c>
      <c r="I498" s="6" t="s">
        <v>994</v>
      </c>
    </row>
    <row r="499" spans="1:9" ht="15" x14ac:dyDescent="0.25">
      <c r="A499" s="1" t="s">
        <v>995</v>
      </c>
      <c r="B499" s="2">
        <f>HYPERLINK("https://www.omim.org/entry/615038",615038)</f>
        <v>615038</v>
      </c>
      <c r="C499" s="3">
        <f>HYPERLINK("https://www.omim.org/entry/615067",615067)</f>
        <v>615067</v>
      </c>
      <c r="I499" s="6" t="s">
        <v>996</v>
      </c>
    </row>
    <row r="500" spans="1:9" ht="15" x14ac:dyDescent="0.25">
      <c r="A500" s="17" t="s">
        <v>997</v>
      </c>
      <c r="B500" s="2">
        <f>HYPERLINK("https://www.omim.org/entry/615408",615408)</f>
        <v>615408</v>
      </c>
      <c r="C500" s="3">
        <f>HYPERLINK("https://www.omim.org/entry/615451",615451)</f>
        <v>615451</v>
      </c>
      <c r="I500" s="6" t="s">
        <v>998</v>
      </c>
    </row>
    <row r="501" spans="1:9" ht="15" x14ac:dyDescent="0.25">
      <c r="A501" s="17" t="s">
        <v>999</v>
      </c>
      <c r="B501" s="2">
        <f>HYPERLINK("https://www.omim.org/entry/615956",615956)</f>
        <v>615956</v>
      </c>
      <c r="C501" s="3">
        <f>HYPERLINK("https://www.omim.org/entry/616037",616037)</f>
        <v>616037</v>
      </c>
      <c r="I501" s="6" t="s">
        <v>1000</v>
      </c>
    </row>
    <row r="502" spans="1:9" ht="15" x14ac:dyDescent="0.25">
      <c r="A502" s="1" t="s">
        <v>1001</v>
      </c>
      <c r="B502" s="2">
        <f>HYPERLINK("https://www.omim.org/entry/617095",617095)</f>
        <v>617095</v>
      </c>
      <c r="C502" s="3">
        <f>HYPERLINK("https://www.omim.org/entry/617092",617092)</f>
        <v>617092</v>
      </c>
      <c r="I502" s="6" t="s">
        <v>1002</v>
      </c>
    </row>
    <row r="503" spans="1:9" ht="15" x14ac:dyDescent="0.25">
      <c r="A503" s="1" t="s">
        <v>1003</v>
      </c>
      <c r="B503" s="2">
        <f>HYPERLINK("https://www.omim.org/entry/300170",300170)</f>
        <v>300170</v>
      </c>
      <c r="C503" s="3">
        <f>HYPERLINK("https://www.omim.org/entry/300804",300804)</f>
        <v>300804</v>
      </c>
      <c r="I503" s="6" t="s">
        <v>1004</v>
      </c>
    </row>
    <row r="504" spans="1:9" ht="15" x14ac:dyDescent="0.25">
      <c r="A504" s="1" t="s">
        <v>1005</v>
      </c>
      <c r="B504" s="2">
        <f>HYPERLINK("https://www.omim.org/entry/300461",300461)</f>
        <v>300461</v>
      </c>
      <c r="C504" s="3">
        <f>HYPERLINK("https://www.omim.org/entry/311250",311250)</f>
        <v>311250</v>
      </c>
      <c r="I504" s="6" t="s">
        <v>1006</v>
      </c>
    </row>
    <row r="505" spans="1:9" ht="15" x14ac:dyDescent="0.25">
      <c r="A505" s="1" t="s">
        <v>1007</v>
      </c>
      <c r="B505" s="2">
        <f>HYPERLINK("https://www.omim.org/entry/607038",607038)</f>
        <v>607038</v>
      </c>
      <c r="C505" s="3">
        <f>HYPERLINK("https://www.omim.org/entry/607039",607039)</f>
        <v>607039</v>
      </c>
      <c r="I505" s="6" t="s">
        <v>1008</v>
      </c>
    </row>
    <row r="506" spans="1:9" ht="15" x14ac:dyDescent="0.25">
      <c r="A506" s="1" t="s">
        <v>1009</v>
      </c>
      <c r="B506" s="2">
        <f>HYPERLINK("https://www.omim.org/entry/603681",603681)</f>
        <v>603681</v>
      </c>
      <c r="C506" s="3">
        <f>HYPERLINK("https://www.omim.org/entry/601071",601071)</f>
        <v>601071</v>
      </c>
      <c r="I506" s="6" t="s">
        <v>1010</v>
      </c>
    </row>
    <row r="507" spans="1:9" ht="15" x14ac:dyDescent="0.25">
      <c r="A507" s="1" t="s">
        <v>1011</v>
      </c>
      <c r="B507" s="2">
        <f>HYPERLINK("https://www.omim.org/entry/604487",604487)</f>
        <v>604487</v>
      </c>
      <c r="C507" s="3">
        <f>HYPERLINK("https://www.omim.org/entry/614945",614945)</f>
        <v>614945</v>
      </c>
      <c r="I507" s="6" t="s">
        <v>1012</v>
      </c>
    </row>
    <row r="508" spans="1:9" ht="15" x14ac:dyDescent="0.25">
      <c r="A508" s="1" t="s">
        <v>1013</v>
      </c>
      <c r="B508" s="2">
        <f>HYPERLINK("https://www.omim.org/entry/614925",614925)</f>
        <v>614925</v>
      </c>
      <c r="C508" s="3">
        <f>HYPERLINK("https://www.omim.org/entry/614944",614944)</f>
        <v>614944</v>
      </c>
      <c r="I508" s="6" t="s">
        <v>1014</v>
      </c>
    </row>
    <row r="509" spans="1:9" ht="15" x14ac:dyDescent="0.25">
      <c r="A509" s="1" t="s">
        <v>1015</v>
      </c>
      <c r="B509" s="2">
        <f>HYPERLINK("https://www.omim.org/entry/600037",600037)</f>
        <v>600037</v>
      </c>
      <c r="C509" s="3">
        <f>HYPERLINK("https://www.omim.org/entry/613986",613986)</f>
        <v>613986</v>
      </c>
      <c r="I509" s="6" t="s">
        <v>1016</v>
      </c>
    </row>
    <row r="510" spans="1:9" ht="15" x14ac:dyDescent="0.25">
      <c r="A510" s="1" t="s">
        <v>1017</v>
      </c>
      <c r="B510" s="2">
        <f>HYPERLINK("https://www.omim.org/entry/601424",601424)</f>
        <v>601424</v>
      </c>
      <c r="C510" s="3">
        <f>HYPERLINK("https://www.omim.org/entry/245050",245050)</f>
        <v>245050</v>
      </c>
      <c r="I510" s="6" t="s">
        <v>1018</v>
      </c>
    </row>
    <row r="511" spans="1:9" ht="15" x14ac:dyDescent="0.25">
      <c r="A511" s="1" t="s">
        <v>1019</v>
      </c>
      <c r="B511" s="2">
        <f>HYPERLINK("https://www.omim.org/entry/612349",612349)</f>
        <v>612349</v>
      </c>
      <c r="C511" s="3">
        <f>HYPERLINK("https://www.omim.org/entry/261600",261600)</f>
        <v>261600</v>
      </c>
      <c r="I511" s="16" t="s">
        <v>1493</v>
      </c>
    </row>
    <row r="512" spans="1:9" ht="15" x14ac:dyDescent="0.25">
      <c r="A512" s="1" t="s">
        <v>1020</v>
      </c>
      <c r="B512" s="2">
        <f>HYPERLINK("https://www.omim.org/entry/167411",167411)</f>
        <v>167411</v>
      </c>
      <c r="C512" s="3">
        <f>HYPERLINK("https://www.omim.org/entry/615560",615560)</f>
        <v>615560</v>
      </c>
      <c r="I512" s="6" t="s">
        <v>1021</v>
      </c>
    </row>
    <row r="513" spans="1:9" ht="15" x14ac:dyDescent="0.25">
      <c r="A513" s="1" t="s">
        <v>1022</v>
      </c>
      <c r="B513" s="2">
        <f>HYPERLINK("https://www.omim.org/entry/606597",606597)</f>
        <v>606597</v>
      </c>
      <c r="C513" s="3">
        <f>HYPERLINK("https://www.omim.org/entry/193500",193500)</f>
        <v>193500</v>
      </c>
      <c r="I513" s="6" t="s">
        <v>1023</v>
      </c>
    </row>
    <row r="514" spans="1:9" ht="15" x14ac:dyDescent="0.25">
      <c r="A514" s="1" t="s">
        <v>1024</v>
      </c>
      <c r="B514" s="2">
        <f>HYPERLINK("https://www.omim.org/entry/167415",167415)</f>
        <v>167415</v>
      </c>
      <c r="C514" s="3">
        <f>HYPERLINK("https://www.omim.org/entry/218700",218700)</f>
        <v>218700</v>
      </c>
      <c r="I514" s="6" t="s">
        <v>1025</v>
      </c>
    </row>
    <row r="515" spans="1:9" ht="15" x14ac:dyDescent="0.25">
      <c r="A515" s="1" t="s">
        <v>1026</v>
      </c>
      <c r="B515" s="2">
        <f>HYPERLINK("https://www.omim.org/entry/126090",126090)</f>
        <v>126090</v>
      </c>
      <c r="C515" s="3">
        <f>HYPERLINK("https://www.omim.org/entry/264070",264070)</f>
        <v>264070</v>
      </c>
      <c r="I515" s="6" t="s">
        <v>1027</v>
      </c>
    </row>
    <row r="516" spans="1:9" ht="15" x14ac:dyDescent="0.25">
      <c r="A516" s="1" t="s">
        <v>1028</v>
      </c>
      <c r="B516" s="2">
        <f>HYPERLINK("https://www.omim.org/entry/232000",232000)</f>
        <v>232000</v>
      </c>
      <c r="C516" s="3">
        <f>HYPERLINK("https://www.omim.org/entry/606054",606054)</f>
        <v>606054</v>
      </c>
      <c r="I516" s="6" t="s">
        <v>1029</v>
      </c>
    </row>
    <row r="517" spans="1:9" ht="15" x14ac:dyDescent="0.25">
      <c r="A517" s="1" t="s">
        <v>1030</v>
      </c>
      <c r="B517" s="2">
        <f>HYPERLINK("https://www.omim.org/entry/232050",232050)</f>
        <v>232050</v>
      </c>
      <c r="C517" s="3">
        <f>HYPERLINK("https://www.omim.org/entry/606054",606054)</f>
        <v>606054</v>
      </c>
      <c r="I517" s="6" t="s">
        <v>1031</v>
      </c>
    </row>
    <row r="518" spans="1:9" ht="15" x14ac:dyDescent="0.25">
      <c r="A518" s="1" t="s">
        <v>1032</v>
      </c>
      <c r="B518" s="2">
        <f>HYPERLINK("https://www.omim.org/entry/605514",605514)</f>
        <v>605514</v>
      </c>
      <c r="C518" s="3">
        <f>HYPERLINK("https://www.omim.org/entry/609533",609533)</f>
        <v>609533</v>
      </c>
      <c r="D518" s="15">
        <f>HYPERLINK("https://www.omim.org/entry/602083",602083)</f>
        <v>602083</v>
      </c>
      <c r="I518" s="6" t="s">
        <v>1033</v>
      </c>
    </row>
    <row r="519" spans="1:9" ht="15" x14ac:dyDescent="0.25">
      <c r="A519" s="1" t="s">
        <v>1034</v>
      </c>
      <c r="B519" s="2">
        <f>HYPERLINK("https://www.omim.org/entry/600733",600733)</f>
        <v>600733</v>
      </c>
      <c r="C519" s="3">
        <f>HYPERLINK("https://www.omim.org/entry/260370",260370)</f>
        <v>260370</v>
      </c>
      <c r="I519" s="6" t="s">
        <v>1035</v>
      </c>
    </row>
    <row r="520" spans="1:9" ht="15" x14ac:dyDescent="0.25">
      <c r="A520" s="1" t="s">
        <v>1036</v>
      </c>
      <c r="B520" s="2">
        <f>HYPERLINK("https://www.omim.org/entry/179020",179020)</f>
        <v>179020</v>
      </c>
      <c r="C520" s="3">
        <f>HYPERLINK("https://www.omim.org/entry/618511",618511)</f>
        <v>618511</v>
      </c>
      <c r="I520" s="6" t="s">
        <v>1037</v>
      </c>
    </row>
    <row r="521" spans="1:9" ht="15" x14ac:dyDescent="0.25">
      <c r="A521" s="1" t="s">
        <v>1038</v>
      </c>
      <c r="B521" s="2">
        <f>HYPERLINK("https://www.omim.org/entry/612971",612971)</f>
        <v>612971</v>
      </c>
      <c r="C521" s="3">
        <f>HYPERLINK("https://www.omim.org/entry/618003",618003)</f>
        <v>618003</v>
      </c>
      <c r="D521" s="15">
        <f>HYPERLINK("https://www.omim.org/entry/605472",605472)</f>
        <v>605472</v>
      </c>
      <c r="I521" s="6" t="s">
        <v>1039</v>
      </c>
    </row>
    <row r="522" spans="1:9" ht="15" x14ac:dyDescent="0.25">
      <c r="A522" s="1" t="s">
        <v>1040</v>
      </c>
      <c r="B522" s="2">
        <f>HYPERLINK("https://www.omim.org/entry/171900",171900)</f>
        <v>171900</v>
      </c>
      <c r="C522" s="3">
        <f>HYPERLINK("https://www.omim.org/entry/614921",614921)</f>
        <v>614921</v>
      </c>
      <c r="I522" s="6" t="s">
        <v>1041</v>
      </c>
    </row>
    <row r="523" spans="1:9" ht="15" x14ac:dyDescent="0.25">
      <c r="A523" s="1" t="s">
        <v>1042</v>
      </c>
      <c r="B523" s="2">
        <f>HYPERLINK("https://www.omim.org/entry/172100",172100)</f>
        <v>172100</v>
      </c>
      <c r="C523" s="3">
        <f>HYPERLINK("https://www.omim.org/entry/615816",615816)</f>
        <v>615816</v>
      </c>
      <c r="I523" s="6" t="s">
        <v>1043</v>
      </c>
    </row>
    <row r="524" spans="1:9" ht="15" x14ac:dyDescent="0.25">
      <c r="A524" s="1" t="s">
        <v>1044</v>
      </c>
      <c r="B524" s="2">
        <f>HYPERLINK("https://www.omim.org/entry/300550",300550)</f>
        <v>300550</v>
      </c>
      <c r="C524" s="3">
        <f>HYPERLINK("https://www.omim.org/entry/307800",307800)</f>
        <v>307800</v>
      </c>
      <c r="I524" s="6" t="s">
        <v>1045</v>
      </c>
    </row>
    <row r="525" spans="1:9" ht="15" x14ac:dyDescent="0.25">
      <c r="A525" s="1" t="s">
        <v>1046</v>
      </c>
      <c r="B525" s="2">
        <f>HYPERLINK("https://www.omim.org/entry/606879",606879)</f>
        <v>606879</v>
      </c>
      <c r="C525" s="3">
        <f>HYPERLINK("https://www.omim.org/entry/601815",601815)</f>
        <v>601815</v>
      </c>
      <c r="I525" s="6" t="s">
        <v>1047</v>
      </c>
    </row>
    <row r="526" spans="1:9" ht="15" x14ac:dyDescent="0.25">
      <c r="A526" s="1" t="s">
        <v>1048</v>
      </c>
      <c r="B526" s="2">
        <f>HYPERLINK("https://www.omim.org/entry/300798",300798)</f>
        <v>300798</v>
      </c>
      <c r="C526" s="3">
        <f>HYPERLINK("https://www.omim.org/entry/306000",306000)</f>
        <v>306000</v>
      </c>
      <c r="I526" s="6" t="s">
        <v>1049</v>
      </c>
    </row>
    <row r="527" spans="1:9" ht="15" x14ac:dyDescent="0.25">
      <c r="A527" s="1" t="s">
        <v>1050</v>
      </c>
      <c r="B527" s="2">
        <f>HYPERLINK("https://www.omim.org/entry/172490",172490)</f>
        <v>172490</v>
      </c>
      <c r="C527" s="3">
        <f>HYPERLINK("https://www.omim.org/entry/261750",261750)</f>
        <v>261750</v>
      </c>
      <c r="I527" s="6" t="s">
        <v>1051</v>
      </c>
    </row>
    <row r="528" spans="1:9" ht="15" x14ac:dyDescent="0.25">
      <c r="A528" s="1" t="s">
        <v>1052</v>
      </c>
      <c r="B528" s="2">
        <f>HYPERLINK("https://www.omim.org/entry/172471",172471)</f>
        <v>172471</v>
      </c>
      <c r="C528" s="3">
        <f>HYPERLINK("https://www.omim.org/entry/613027",613027)</f>
        <v>613027</v>
      </c>
      <c r="I528" s="16" t="s">
        <v>1494</v>
      </c>
    </row>
    <row r="529" spans="1:9" ht="15" x14ac:dyDescent="0.25">
      <c r="A529" s="1" t="s">
        <v>1053</v>
      </c>
      <c r="B529" s="2">
        <f>HYPERLINK("https://www.omim.org/entry/602026",602026)</f>
        <v>602026</v>
      </c>
      <c r="C529" s="3">
        <f>HYPERLINK("https://www.omim.org/entry/266500",266500)</f>
        <v>266500</v>
      </c>
      <c r="I529" s="6" t="s">
        <v>1054</v>
      </c>
    </row>
    <row r="530" spans="1:9" ht="15" x14ac:dyDescent="0.25">
      <c r="A530" s="1" t="s">
        <v>1055</v>
      </c>
      <c r="B530" s="2">
        <f>HYPERLINK("https://www.omim.org/entry/602839",602839)</f>
        <v>602839</v>
      </c>
      <c r="C530" s="3">
        <f>HYPERLINK("https://www.omim.org/entry/615513",615513)</f>
        <v>615513</v>
      </c>
      <c r="D530" s="15">
        <f>HYPERLINK("https://www.omim.org/entry/619281",619281)</f>
        <v>619281</v>
      </c>
      <c r="I530" s="6" t="s">
        <v>1056</v>
      </c>
    </row>
    <row r="531" spans="1:9" ht="15" x14ac:dyDescent="0.25">
      <c r="A531" s="1" t="s">
        <v>1057</v>
      </c>
      <c r="B531" s="2">
        <f>HYPERLINK("https://www.omim.org/entry/171833",171833)</f>
        <v>171833</v>
      </c>
      <c r="C531" s="3">
        <f>HYPERLINK("https://www.omim.org/entry/616005",616005)</f>
        <v>616005</v>
      </c>
      <c r="D531" s="15">
        <f>HYPERLINK("https://www.omim.org/entry/269880",269880)</f>
        <v>269880</v>
      </c>
      <c r="E531" s="15">
        <f>HYPERLINK("https://www.omim.org/entry/615214",615214)</f>
        <v>615214</v>
      </c>
      <c r="I531" s="6" t="s">
        <v>1058</v>
      </c>
    </row>
    <row r="532" spans="1:9" ht="15" x14ac:dyDescent="0.25">
      <c r="A532" s="1" t="s">
        <v>1059</v>
      </c>
      <c r="B532" s="2">
        <f>HYPERLINK("https://www.omim.org/entry/610219",610219)</f>
        <v>610219</v>
      </c>
      <c r="C532" s="3">
        <f>HYPERLINK("https://www.omim.org/entry/610220",610220)</f>
        <v>610220</v>
      </c>
      <c r="I532" s="6" t="s">
        <v>1060</v>
      </c>
    </row>
    <row r="533" spans="1:9" ht="15" x14ac:dyDescent="0.25">
      <c r="A533" s="1" t="s">
        <v>1061</v>
      </c>
      <c r="B533" s="2">
        <f>HYPERLINK("https://www.omim.org/entry/609712",609712)</f>
        <v>609712</v>
      </c>
      <c r="C533" s="3">
        <f>HYPERLINK("https://www.omim.org/entry/266200",266200)</f>
        <v>266200</v>
      </c>
      <c r="I533" s="6" t="s">
        <v>1062</v>
      </c>
    </row>
    <row r="534" spans="1:9" ht="15" x14ac:dyDescent="0.25">
      <c r="A534" s="1" t="s">
        <v>1063</v>
      </c>
      <c r="B534" s="2">
        <f>HYPERLINK("https://www.omim.org/entry/600220",600220)</f>
        <v>600220</v>
      </c>
      <c r="C534" s="3">
        <f>HYPERLINK("https://www.omim.org/entry/614878",614878)</f>
        <v>614878</v>
      </c>
      <c r="I534" s="6" t="s">
        <v>1064</v>
      </c>
    </row>
    <row r="535" spans="1:9" ht="15" x14ac:dyDescent="0.25">
      <c r="A535" s="1" t="s">
        <v>1065</v>
      </c>
      <c r="B535" s="2">
        <f>HYPERLINK("https://www.omim.org/entry/604436",604436)</f>
        <v>604436</v>
      </c>
      <c r="C535" s="3">
        <f>HYPERLINK("https://www.omim.org/entry/617290",617290)</f>
        <v>617290</v>
      </c>
      <c r="I535" s="6" t="s">
        <v>1066</v>
      </c>
    </row>
    <row r="536" spans="1:9" ht="15" x14ac:dyDescent="0.25">
      <c r="A536" s="1" t="s">
        <v>1067</v>
      </c>
      <c r="B536" s="2">
        <f>HYPERLINK("https://www.omim.org/entry/300131",300131)</f>
        <v>300131</v>
      </c>
      <c r="C536" s="3">
        <f>HYPERLINK("https://www.omim.org/entry/300910",300910)</f>
        <v>300910</v>
      </c>
      <c r="I536" s="6" t="s">
        <v>1068</v>
      </c>
    </row>
    <row r="537" spans="1:9" ht="15" x14ac:dyDescent="0.25">
      <c r="A537" s="1" t="s">
        <v>1069</v>
      </c>
      <c r="B537" s="2">
        <f>HYPERLINK("https://www.omim.org/entry/601785",601785)</f>
        <v>601785</v>
      </c>
      <c r="C537" s="3">
        <f>HYPERLINK("https://www.omim.org/entry/212065",212065)</f>
        <v>212065</v>
      </c>
      <c r="I537" s="6" t="s">
        <v>1070</v>
      </c>
    </row>
    <row r="538" spans="1:9" ht="15" x14ac:dyDescent="0.25">
      <c r="A538" s="1" t="s">
        <v>1071</v>
      </c>
      <c r="B538" s="2">
        <f>HYPERLINK("https://www.omim.org/entry/164050",164050)</f>
        <v>164050</v>
      </c>
      <c r="C538" s="3">
        <f>HYPERLINK("https://www.omim.org/entry/613179",613179)</f>
        <v>613179</v>
      </c>
      <c r="I538" s="6" t="s">
        <v>1072</v>
      </c>
    </row>
    <row r="539" spans="1:9" ht="15" x14ac:dyDescent="0.25">
      <c r="A539" s="1" t="s">
        <v>1073</v>
      </c>
      <c r="B539" s="2">
        <f>HYPERLINK("https://www.omim.org/entry/603287",603287)</f>
        <v>603287</v>
      </c>
      <c r="C539" s="3">
        <f>HYPERLINK("https://www.omim.org/entry/610090",610090)</f>
        <v>610090</v>
      </c>
      <c r="I539" s="6" t="s">
        <v>1074</v>
      </c>
    </row>
    <row r="540" spans="1:9" ht="15" x14ac:dyDescent="0.25">
      <c r="A540" s="1" t="s">
        <v>1075</v>
      </c>
      <c r="B540" s="2">
        <f>HYPERLINK("https://www.omim.org/entry/603968",603968)</f>
        <v>603968</v>
      </c>
      <c r="C540" s="3">
        <f>HYPERLINK("https://www.omim.org/entry/278750",278750)</f>
        <v>278750</v>
      </c>
      <c r="I540" s="6" t="s">
        <v>1076</v>
      </c>
    </row>
    <row r="541" spans="1:9" ht="15" x14ac:dyDescent="0.25">
      <c r="A541" s="1" t="s">
        <v>1077</v>
      </c>
      <c r="B541" s="2">
        <f>HYPERLINK("https://www.omim.org/entry/613715",613715)</f>
        <v>613715</v>
      </c>
      <c r="C541" s="3">
        <f>HYPERLINK("https://www.omim.org/entry/613717",613717)</f>
        <v>613717</v>
      </c>
      <c r="I541" s="6" t="s">
        <v>1078</v>
      </c>
    </row>
    <row r="542" spans="1:9" ht="15" x14ac:dyDescent="0.25">
      <c r="A542" s="1" t="s">
        <v>1079</v>
      </c>
      <c r="B542" s="2">
        <f>HYPERLINK("https://www.omim.org/entry/176830",176830)</f>
        <v>176830</v>
      </c>
      <c r="C542" s="3">
        <f>HYPERLINK("https://www.omim.org/entry/609734",609734)</f>
        <v>609734</v>
      </c>
      <c r="I542" s="6" t="s">
        <v>1080</v>
      </c>
    </row>
    <row r="543" spans="1:9" ht="15" x14ac:dyDescent="0.25">
      <c r="A543" s="1" t="s">
        <v>1081</v>
      </c>
      <c r="B543" s="2">
        <f>HYPERLINK("https://www.omim.org/entry/124015",124015)</f>
        <v>124015</v>
      </c>
      <c r="C543" s="3">
        <f>HYPERLINK("https://www.omim.org/entry/613571",613571)</f>
        <v>613571</v>
      </c>
      <c r="I543" s="6" t="s">
        <v>1082</v>
      </c>
    </row>
    <row r="544" spans="1:9" ht="15" x14ac:dyDescent="0.25">
      <c r="A544" s="1" t="s">
        <v>1083</v>
      </c>
      <c r="B544" s="2">
        <f>HYPERLINK("https://www.omim.org/entry/173110",173110)</f>
        <v>173110</v>
      </c>
      <c r="C544" s="3">
        <f>HYPERLINK("https://www.omim.org/entry/613038",613038)</f>
        <v>613038</v>
      </c>
      <c r="I544" s="6" t="s">
        <v>1084</v>
      </c>
    </row>
    <row r="545" spans="1:9" ht="15" x14ac:dyDescent="0.25">
      <c r="A545" s="1" t="s">
        <v>1085</v>
      </c>
      <c r="B545" s="2">
        <f>HYPERLINK("https://www.omim.org/entry/611065",611065)</f>
        <v>611065</v>
      </c>
      <c r="C545" s="3">
        <f>HYPERLINK("https://www.omim.org/entry/615135",615135)</f>
        <v>615135</v>
      </c>
      <c r="I545" s="6" t="s">
        <v>1086</v>
      </c>
    </row>
    <row r="546" spans="1:9" ht="15" x14ac:dyDescent="0.25">
      <c r="A546" s="1" t="s">
        <v>1087</v>
      </c>
      <c r="B546" s="2">
        <f>HYPERLINK("https://www.omim.org/entry/600923",600923)</f>
        <v>600923</v>
      </c>
      <c r="C546" s="3">
        <f>HYPERLINK("https://www.omim.org/entry/620483",620483)</f>
        <v>620483</v>
      </c>
      <c r="I546" s="6" t="s">
        <v>1088</v>
      </c>
    </row>
    <row r="547" spans="1:9" ht="15" x14ac:dyDescent="0.25">
      <c r="A547" s="1" t="s">
        <v>1089</v>
      </c>
      <c r="B547" s="2">
        <f>HYPERLINK("https://www.omim.org/entry/609557",609557)</f>
        <v>609557</v>
      </c>
      <c r="C547" s="3">
        <f>HYPERLINK("https://www.omim.org/entry/616224",616224)</f>
        <v>616224</v>
      </c>
      <c r="I547" s="6" t="s">
        <v>1090</v>
      </c>
    </row>
    <row r="548" spans="1:9" ht="15" x14ac:dyDescent="0.25">
      <c r="A548" s="1" t="s">
        <v>1091</v>
      </c>
      <c r="B548" s="2">
        <f>HYPERLINK("https://www.omim.org/entry/170280",170280)</f>
        <v>170280</v>
      </c>
      <c r="C548" s="3">
        <f>HYPERLINK("https://www.omim.org/entry/603553",603553)</f>
        <v>603553</v>
      </c>
      <c r="I548" s="6" t="s">
        <v>1092</v>
      </c>
    </row>
    <row r="549" spans="1:9" ht="15" x14ac:dyDescent="0.25">
      <c r="A549" s="1" t="s">
        <v>1093</v>
      </c>
      <c r="B549" s="2">
        <f>HYPERLINK("https://www.omim.org/entry/188830",188830)</f>
        <v>188830</v>
      </c>
      <c r="C549" s="3">
        <f>HYPERLINK("https://www.omim.org/entry/160980",160980)</f>
        <v>160980</v>
      </c>
      <c r="I549" s="6" t="s">
        <v>1094</v>
      </c>
    </row>
    <row r="550" spans="1:9" ht="15" x14ac:dyDescent="0.25">
      <c r="A550" s="1" t="s">
        <v>1095</v>
      </c>
      <c r="B550" s="2">
        <f>HYPERLINK("https://www.omim.org/entry/600899",600899)</f>
        <v>600899</v>
      </c>
      <c r="C550" s="3">
        <f>HYPERLINK("https://www.omim.org/entry/615966",615966)</f>
        <v>615966</v>
      </c>
      <c r="I550" s="6" t="s">
        <v>1096</v>
      </c>
    </row>
    <row r="551" spans="1:9" ht="15" x14ac:dyDescent="0.25">
      <c r="A551" s="1" t="s">
        <v>1097</v>
      </c>
      <c r="B551" s="2">
        <f>HYPERLINK("https://www.omim.org/entry/601538",601538)</f>
        <v>601538</v>
      </c>
      <c r="C551" s="3">
        <f>HYPERLINK("https://www.omim.org/entry/262600",262600)</f>
        <v>262600</v>
      </c>
      <c r="I551" s="6" t="s">
        <v>1098</v>
      </c>
    </row>
    <row r="552" spans="1:9" ht="15" x14ac:dyDescent="0.25">
      <c r="A552" s="1" t="s">
        <v>1099</v>
      </c>
      <c r="B552" s="2">
        <f>HYPERLINK("https://www.omim.org/entry/176880",176880)</f>
        <v>176880</v>
      </c>
      <c r="C552" s="3">
        <f>HYPERLINK("https://www.omim.org/entry/614514",614514)</f>
        <v>614514</v>
      </c>
      <c r="I552" s="6" t="s">
        <v>1100</v>
      </c>
    </row>
    <row r="553" spans="1:9" ht="15" x14ac:dyDescent="0.25">
      <c r="A553" s="1" t="s">
        <v>1101</v>
      </c>
      <c r="B553" s="2">
        <f>HYPERLINK("https://www.omim.org/entry/311850",311850)</f>
        <v>311850</v>
      </c>
      <c r="C553" s="3">
        <f>HYPERLINK("https://www.omim.org/entry/304500",304500)</f>
        <v>304500</v>
      </c>
      <c r="I553" s="6" t="s">
        <v>1102</v>
      </c>
    </row>
    <row r="554" spans="1:9" ht="15" x14ac:dyDescent="0.25">
      <c r="A554" s="1" t="s">
        <v>1103</v>
      </c>
      <c r="B554" s="2">
        <f>HYPERLINK("https://www.omim.org/entry/610936",610936)</f>
        <v>610936</v>
      </c>
      <c r="C554" s="3">
        <f>HYPERLINK("https://www.omim.org/entry/610992",610992)</f>
        <v>610992</v>
      </c>
      <c r="I554" s="6" t="s">
        <v>1104</v>
      </c>
    </row>
    <row r="555" spans="1:9" ht="15" x14ac:dyDescent="0.25">
      <c r="A555" s="1" t="s">
        <v>1105</v>
      </c>
      <c r="B555" s="2">
        <f>HYPERLINK("https://www.omim.org/entry/606347",606347)</f>
        <v>606347</v>
      </c>
      <c r="C555" s="3">
        <f>HYPERLINK("https://www.omim.org/entry/601979",601979)</f>
        <v>601979</v>
      </c>
      <c r="D555" s="15">
        <f>HYPERLINK("https://www.omim.org/entry/604416",604416)</f>
        <v>604416</v>
      </c>
      <c r="I555" s="6" t="s">
        <v>1106</v>
      </c>
    </row>
    <row r="556" spans="1:9" ht="15" x14ac:dyDescent="0.25">
      <c r="A556" s="1" t="s">
        <v>1107</v>
      </c>
      <c r="B556" s="2">
        <f>HYPERLINK("https://www.omim.org/entry/607194",607194)</f>
        <v>607194</v>
      </c>
      <c r="C556" s="3">
        <f>HYPERLINK("https://www.omim.org/entry/615935",615935)</f>
        <v>615935</v>
      </c>
      <c r="I556" s="6" t="s">
        <v>1108</v>
      </c>
    </row>
    <row r="557" spans="1:9" ht="15" x14ac:dyDescent="0.25">
      <c r="A557" s="1" t="s">
        <v>1109</v>
      </c>
      <c r="B557" s="2">
        <f>HYPERLINK("https://www.omim.org/entry/176876",176876)</f>
        <v>176876</v>
      </c>
      <c r="C557" s="3">
        <f>HYPERLINK("https://www.omim.org/entry/163950",163950)</f>
        <v>163950</v>
      </c>
      <c r="I557" s="6" t="s">
        <v>1110</v>
      </c>
    </row>
    <row r="558" spans="1:9" ht="15" x14ac:dyDescent="0.25">
      <c r="A558" s="1" t="s">
        <v>1111</v>
      </c>
      <c r="B558" s="2">
        <f>HYPERLINK("https://www.omim.org/entry/151460",151460)</f>
        <v>151460</v>
      </c>
      <c r="C558" s="3">
        <f>HYPERLINK("https://www.omim.org/entry/619924",619924)</f>
        <v>619924</v>
      </c>
      <c r="I558" s="6" t="s">
        <v>1112</v>
      </c>
    </row>
    <row r="559" spans="1:9" ht="15" x14ac:dyDescent="0.25">
      <c r="A559" s="1" t="s">
        <v>1113</v>
      </c>
      <c r="B559" s="2">
        <f>HYPERLINK("https://www.omim.org/entry/603317",603317)</f>
        <v>603317</v>
      </c>
      <c r="C559" s="3">
        <f>HYPERLINK("https://www.omim.org/entry/613391",613391)</f>
        <v>613391</v>
      </c>
      <c r="I559" s="6" t="s">
        <v>1114</v>
      </c>
    </row>
    <row r="560" spans="1:9" ht="15" x14ac:dyDescent="0.25">
      <c r="A560" s="1" t="s">
        <v>1115</v>
      </c>
      <c r="B560" s="2">
        <f>HYPERLINK("https://www.omim.org/entry/612719",612719)</f>
        <v>612719</v>
      </c>
      <c r="C560" s="3">
        <f>HYPERLINK("https://www.omim.org/entry/261640",261640)</f>
        <v>261640</v>
      </c>
      <c r="I560" s="6" t="s">
        <v>1116</v>
      </c>
    </row>
    <row r="561" spans="1:9" ht="15" x14ac:dyDescent="0.25">
      <c r="A561" s="1" t="s">
        <v>1117</v>
      </c>
      <c r="B561" s="2">
        <f>HYPERLINK("https://www.omim.org/entry/613741",613741)</f>
        <v>613741</v>
      </c>
      <c r="C561" s="3">
        <f>HYPERLINK("https://www.omim.org/entry/232700",232700)</f>
        <v>232700</v>
      </c>
      <c r="I561" s="6" t="s">
        <v>1118</v>
      </c>
    </row>
    <row r="562" spans="1:9" ht="15" x14ac:dyDescent="0.25">
      <c r="A562" s="1" t="s">
        <v>1119</v>
      </c>
      <c r="B562" s="2">
        <f>HYPERLINK("https://www.omim.org/entry/608455",608455)</f>
        <v>608455</v>
      </c>
      <c r="C562" s="3">
        <f>HYPERLINK("https://www.omim.org/entry/232600",232600)</f>
        <v>232600</v>
      </c>
      <c r="I562" s="6" t="s">
        <v>1120</v>
      </c>
    </row>
    <row r="563" spans="1:9" ht="15" x14ac:dyDescent="0.25">
      <c r="A563" s="1" t="s">
        <v>1121</v>
      </c>
      <c r="B563" s="2">
        <f>HYPERLINK("https://www.omim.org/entry/612676",612676)</f>
        <v>612676</v>
      </c>
      <c r="C563" s="3">
        <f>HYPERLINK("https://www.omim.org/entry/261630",261630)</f>
        <v>261630</v>
      </c>
      <c r="I563" s="6" t="s">
        <v>1122</v>
      </c>
    </row>
    <row r="564" spans="1:9" ht="15" x14ac:dyDescent="0.25">
      <c r="A564" s="1" t="s">
        <v>1123</v>
      </c>
      <c r="B564" s="2">
        <f>HYPERLINK("https://www.omim.org/entry/606144",606144)</f>
        <v>606144</v>
      </c>
      <c r="C564" s="3">
        <f>HYPERLINK("https://www.omim.org/entry/201000",201000)</f>
        <v>201000</v>
      </c>
      <c r="I564" s="6" t="s">
        <v>1124</v>
      </c>
    </row>
    <row r="565" spans="1:9" ht="15" x14ac:dyDescent="0.25">
      <c r="A565" s="1" t="s">
        <v>1125</v>
      </c>
      <c r="B565" s="2">
        <f>HYPERLINK("https://www.omim.org/entry/603868",603868)</f>
        <v>603868</v>
      </c>
      <c r="C565" s="3">
        <f>HYPERLINK("https://www.omim.org/entry/607624",607624)</f>
        <v>607624</v>
      </c>
      <c r="I565" s="6" t="s">
        <v>1126</v>
      </c>
    </row>
    <row r="566" spans="1:9" ht="15" x14ac:dyDescent="0.25">
      <c r="A566" s="1" t="s">
        <v>1127</v>
      </c>
      <c r="B566" s="2">
        <f>HYPERLINK("https://www.omim.org/entry/602049",602049)</f>
        <v>602049</v>
      </c>
      <c r="C566" s="3">
        <f>HYPERLINK("https://www.omim.org/entry/618986",618986)</f>
        <v>618986</v>
      </c>
      <c r="I566" s="6" t="s">
        <v>1128</v>
      </c>
    </row>
    <row r="567" spans="1:9" ht="15" x14ac:dyDescent="0.25">
      <c r="A567" s="1" t="s">
        <v>1129</v>
      </c>
      <c r="B567" s="2">
        <f>HYPERLINK("https://www.omim.org/entry/164760",164760)</f>
        <v>164760</v>
      </c>
      <c r="C567" s="3">
        <f>HYPERLINK("https://www.omim.org/entry/611553",611553)</f>
        <v>611553</v>
      </c>
      <c r="I567" s="6" t="s">
        <v>1130</v>
      </c>
    </row>
    <row r="568" spans="1:9" ht="15" x14ac:dyDescent="0.25">
      <c r="A568" s="1" t="s">
        <v>1131</v>
      </c>
      <c r="B568" s="2">
        <f>HYPERLINK("https://www.omim.org/entry/179615",179615)</f>
        <v>179615</v>
      </c>
      <c r="C568" s="3">
        <f>HYPERLINK("https://www.omim.org/entry/603554",603554)</f>
        <v>603554</v>
      </c>
      <c r="D568" s="15">
        <f>HYPERLINK("https://www.omim.org/entry/601457",601457)</f>
        <v>601457</v>
      </c>
      <c r="I568" s="6" t="s">
        <v>1132</v>
      </c>
    </row>
    <row r="569" spans="1:9" ht="15" x14ac:dyDescent="0.25">
      <c r="A569" s="1" t="s">
        <v>1133</v>
      </c>
      <c r="B569" s="2">
        <f>HYPERLINK("https://www.omim.org/entry/179616",179616)</f>
        <v>179616</v>
      </c>
      <c r="C569" s="3">
        <f>HYPERLINK("https://www.omim.org/entry/601457",601457)</f>
        <v>601457</v>
      </c>
      <c r="D569" s="15">
        <f>HYPERLINK("https://www.omim.org/entry/233650",233650)</f>
        <v>233650</v>
      </c>
      <c r="E569" s="15">
        <f>HYPERLINK("https://www.omim.org/entry/603554",603554)</f>
        <v>603554</v>
      </c>
      <c r="I569" s="6" t="s">
        <v>1134</v>
      </c>
    </row>
    <row r="570" spans="1:9" ht="15" x14ac:dyDescent="0.25">
      <c r="A570" s="1" t="s">
        <v>1135</v>
      </c>
      <c r="B570" s="2">
        <f>HYPERLINK("https://www.omim.org/entry/601592",601592)</f>
        <v>601592</v>
      </c>
      <c r="C570" s="3">
        <f>HYPERLINK("https://www.omim.org/entry/616326",616326)</f>
        <v>616326</v>
      </c>
      <c r="I570" s="6" t="s">
        <v>1136</v>
      </c>
    </row>
    <row r="571" spans="1:9" ht="15" x14ac:dyDescent="0.25">
      <c r="A571" s="1" t="s">
        <v>1137</v>
      </c>
      <c r="B571" s="2">
        <f>HYPERLINK("https://www.omim.org/entry/603962",603962)</f>
        <v>603962</v>
      </c>
      <c r="C571" s="3">
        <f>HYPERLINK("https://www.omim.org/entry/618534",618534)</f>
        <v>618534</v>
      </c>
      <c r="I571" s="6" t="s">
        <v>1138</v>
      </c>
    </row>
    <row r="572" spans="1:9" ht="15" x14ac:dyDescent="0.25">
      <c r="A572" s="1" t="s">
        <v>1139</v>
      </c>
      <c r="B572" s="2">
        <f>HYPERLINK("https://www.omim.org/entry/179410",179410)</f>
        <v>179410</v>
      </c>
      <c r="C572" s="3">
        <f>HYPERLINK("https://www.omim.org/entry/611022",611022)</f>
        <v>611022</v>
      </c>
      <c r="I572" s="6" t="s">
        <v>1140</v>
      </c>
    </row>
    <row r="573" spans="1:9" ht="15" x14ac:dyDescent="0.25">
      <c r="A573" s="1" t="s">
        <v>1141</v>
      </c>
      <c r="B573" s="2">
        <f>HYPERLINK("https://www.omim.org/entry/601863",601863)</f>
        <v>601863</v>
      </c>
      <c r="C573" s="3">
        <f>HYPERLINK("https://www.omim.org/entry/620816",620816)</f>
        <v>620816</v>
      </c>
      <c r="I573" s="6" t="s">
        <v>1142</v>
      </c>
    </row>
    <row r="574" spans="1:9" ht="15" x14ac:dyDescent="0.25">
      <c r="A574" s="1" t="s">
        <v>1143</v>
      </c>
      <c r="B574" s="2">
        <f>HYPERLINK("https://www.omim.org/entry/603200",603200)</f>
        <v>603200</v>
      </c>
      <c r="C574" s="3">
        <f>HYPERLINK("https://www.omim.org/entry/620815",620815)</f>
        <v>620815</v>
      </c>
      <c r="I574" s="6" t="s">
        <v>1144</v>
      </c>
    </row>
    <row r="575" spans="1:9" ht="15" x14ac:dyDescent="0.25">
      <c r="A575" s="1" t="s">
        <v>1145</v>
      </c>
      <c r="B575" s="2">
        <f>HYPERLINK("https://www.omim.org/entry/601861",601861)</f>
        <v>601861</v>
      </c>
      <c r="C575" s="3">
        <f>HYPERLINK("https://www.omim.org/entry/620817",620817)</f>
        <v>620817</v>
      </c>
      <c r="I575" s="6" t="s">
        <v>1146</v>
      </c>
    </row>
    <row r="576" spans="1:9" ht="15" x14ac:dyDescent="0.25">
      <c r="A576" s="1" t="s">
        <v>1147</v>
      </c>
      <c r="B576" s="2">
        <f>HYPERLINK("https://www.omim.org/entry/609591",609591)</f>
        <v>609591</v>
      </c>
      <c r="C576" s="3">
        <f>HYPERLINK("https://www.omim.org/entry/615355",615355)</f>
        <v>615355</v>
      </c>
      <c r="I576" s="6" t="s">
        <v>1148</v>
      </c>
    </row>
    <row r="577" spans="1:9" ht="15" x14ac:dyDescent="0.25">
      <c r="A577" s="1" t="s">
        <v>1149</v>
      </c>
      <c r="B577" s="2">
        <f>HYPERLINK("https://www.omim.org/entry/157660",157660)</f>
        <v>157660</v>
      </c>
      <c r="C577" s="3">
        <f>HYPERLINK("https://www.omim.org/entry/607095",607095)</f>
        <v>607095</v>
      </c>
      <c r="D577" s="15">
        <f>HYPERLINK("https://www.omim.org/entry/250250",250250)</f>
        <v>250250</v>
      </c>
      <c r="I577" s="6" t="s">
        <v>1150</v>
      </c>
    </row>
    <row r="578" spans="1:9" ht="15" x14ac:dyDescent="0.25">
      <c r="A578" s="1" t="s">
        <v>1151</v>
      </c>
      <c r="B578" s="2">
        <f>HYPERLINK("https://www.omim.org/entry/606034",606034)</f>
        <v>606034</v>
      </c>
      <c r="C578" s="3">
        <f>HYPERLINK("https://www.omim.org/entry/610333",610333)</f>
        <v>610333</v>
      </c>
      <c r="I578" s="6" t="s">
        <v>1152</v>
      </c>
    </row>
    <row r="579" spans="1:9" ht="15" x14ac:dyDescent="0.25">
      <c r="A579" s="1" t="s">
        <v>1153</v>
      </c>
      <c r="B579" s="2">
        <f>HYPERLINK("https://www.omim.org/entry/610326",610326)</f>
        <v>610326</v>
      </c>
      <c r="C579" s="3">
        <f>HYPERLINK("https://www.omim.org/entry/610181",610181)</f>
        <v>610181</v>
      </c>
      <c r="I579" s="6" t="s">
        <v>1154</v>
      </c>
    </row>
    <row r="580" spans="1:9" ht="15" x14ac:dyDescent="0.25">
      <c r="A580" s="1" t="s">
        <v>1155</v>
      </c>
      <c r="B580" s="2">
        <f>HYPERLINK("https://www.omim.org/entry/610330",610330)</f>
        <v>610330</v>
      </c>
      <c r="C580" s="3">
        <f>HYPERLINK("https://www.omim.org/entry/610329",610329)</f>
        <v>610329</v>
      </c>
      <c r="I580" s="6" t="s">
        <v>1156</v>
      </c>
    </row>
    <row r="581" spans="1:9" ht="15" x14ac:dyDescent="0.25">
      <c r="A581" s="1" t="s">
        <v>1157</v>
      </c>
      <c r="B581" s="2">
        <f>HYPERLINK("https://www.omim.org/entry/618016",618016)</f>
        <v>618016</v>
      </c>
      <c r="C581" s="3">
        <f>HYPERLINK("https://www.omim.org/entry/618160",618160)</f>
        <v>618160</v>
      </c>
      <c r="I581" s="6" t="s">
        <v>1158</v>
      </c>
    </row>
    <row r="582" spans="1:9" ht="15" x14ac:dyDescent="0.25">
      <c r="A582" s="1" t="s">
        <v>1159</v>
      </c>
      <c r="B582" s="2">
        <f>HYPERLINK("https://www.omim.org/entry/180069",180069)</f>
        <v>180069</v>
      </c>
      <c r="C582" s="3">
        <f>HYPERLINK("https://www.omim.org/entry/613794",613794)</f>
        <v>613794</v>
      </c>
      <c r="D582" s="15">
        <f>HYPERLINK("https://www.omim.org/entry/204100",204100)</f>
        <v>204100</v>
      </c>
      <c r="I582" s="6" t="s">
        <v>1160</v>
      </c>
    </row>
    <row r="583" spans="1:9" ht="15" x14ac:dyDescent="0.25">
      <c r="A583" s="1" t="s">
        <v>1161</v>
      </c>
      <c r="B583" s="2">
        <f>HYPERLINK("https://www.omim.org/entry/604175",604175)</f>
        <v>604175</v>
      </c>
      <c r="C583" s="3">
        <f>HYPERLINK("https://www.omim.org/entry/612562",612562)</f>
        <v>612562</v>
      </c>
      <c r="I583" s="6" t="s">
        <v>1162</v>
      </c>
    </row>
    <row r="584" spans="1:9" ht="15" x14ac:dyDescent="0.25">
      <c r="A584" s="1" t="s">
        <v>1163</v>
      </c>
      <c r="B584" s="2">
        <f>HYPERLINK("https://www.omim.org/entry/604174",604174)</f>
        <v>604174</v>
      </c>
      <c r="C584" s="3">
        <f>HYPERLINK("https://www.omim.org/entry/615550",615550)</f>
        <v>615550</v>
      </c>
      <c r="I584" s="6" t="s">
        <v>1164</v>
      </c>
    </row>
    <row r="585" spans="1:9" ht="15" x14ac:dyDescent="0.25">
      <c r="A585" s="1" t="s">
        <v>1165</v>
      </c>
      <c r="B585" s="2">
        <f>HYPERLINK("https://www.omim.org/entry/603704",603704)</f>
        <v>603704</v>
      </c>
      <c r="C585" s="3">
        <f>HYPERLINK("https://www.omim.org/entry/614900",614900)</f>
        <v>614900</v>
      </c>
      <c r="I585" s="6" t="s">
        <v>1166</v>
      </c>
    </row>
    <row r="586" spans="1:9" ht="15" x14ac:dyDescent="0.25">
      <c r="A586" s="1" t="s">
        <v>1167</v>
      </c>
      <c r="B586" s="2">
        <f>HYPERLINK("https://www.omim.org/entry/607526",607526)</f>
        <v>607526</v>
      </c>
      <c r="C586" s="3">
        <f>HYPERLINK("https://www.omim.org/entry/617408",617408)</f>
        <v>617408</v>
      </c>
      <c r="I586" s="6" t="s">
        <v>1168</v>
      </c>
    </row>
    <row r="587" spans="1:9" ht="15" x14ac:dyDescent="0.25">
      <c r="A587" s="1" t="s">
        <v>1169</v>
      </c>
      <c r="B587" s="2">
        <f>HYPERLINK("https://www.omim.org/entry/180468",180468)</f>
        <v>180468</v>
      </c>
      <c r="C587" s="3">
        <f>HYPERLINK("https://www.omim.org/entry/612528",612528)</f>
        <v>612528</v>
      </c>
      <c r="I587" s="6" t="s">
        <v>1170</v>
      </c>
    </row>
    <row r="588" spans="1:9" ht="15" x14ac:dyDescent="0.25">
      <c r="A588" s="1" t="s">
        <v>1171</v>
      </c>
      <c r="B588" s="2">
        <f>HYPERLINK("https://www.omim.org/entry/603634",603634)</f>
        <v>603634</v>
      </c>
      <c r="C588" s="3">
        <f>HYPERLINK("https://www.omim.org/entry/612561",612561)</f>
        <v>612561</v>
      </c>
      <c r="I588" s="6" t="s">
        <v>1172</v>
      </c>
    </row>
    <row r="589" spans="1:9" ht="15" x14ac:dyDescent="0.25">
      <c r="A589" s="1" t="s">
        <v>1173</v>
      </c>
      <c r="B589" s="2">
        <f>HYPERLINK("https://www.omim.org/entry/603632",603632)</f>
        <v>603632</v>
      </c>
      <c r="C589" s="3">
        <f>HYPERLINK("https://www.omim.org/entry/613308",613308)</f>
        <v>613308</v>
      </c>
      <c r="I589" s="6" t="s">
        <v>1174</v>
      </c>
    </row>
    <row r="590" spans="1:9" ht="15" x14ac:dyDescent="0.25">
      <c r="A590" s="1" t="s">
        <v>1175</v>
      </c>
      <c r="B590" s="2">
        <f>HYPERLINK("https://www.omim.org/entry/180472",180472)</f>
        <v>180472</v>
      </c>
      <c r="C590" s="3">
        <f>HYPERLINK("https://www.omim.org/entry/612527",612527)</f>
        <v>612527</v>
      </c>
      <c r="I590" s="6" t="s">
        <v>1176</v>
      </c>
    </row>
    <row r="591" spans="1:9" ht="15" x14ac:dyDescent="0.25">
      <c r="A591" s="1" t="s">
        <v>1177</v>
      </c>
      <c r="B591" s="2">
        <f>HYPERLINK("https://www.omim.org/entry/603474",603474)</f>
        <v>603474</v>
      </c>
      <c r="C591" s="3">
        <f>HYPERLINK("https://www.omim.org/entry/105650",105650)</f>
        <v>105650</v>
      </c>
      <c r="I591" s="6" t="s">
        <v>1178</v>
      </c>
    </row>
    <row r="592" spans="1:9" ht="15" x14ac:dyDescent="0.25">
      <c r="A592" s="1" t="s">
        <v>1179</v>
      </c>
      <c r="B592" s="2">
        <f>HYPERLINK("https://www.omim.org/entry/602412",602412)</f>
        <v>602412</v>
      </c>
      <c r="C592" s="3">
        <f>HYPERLINK("https://www.omim.org/entry/610629",610629)</f>
        <v>610629</v>
      </c>
      <c r="I592" s="6" t="s">
        <v>1180</v>
      </c>
    </row>
    <row r="593" spans="1:9" ht="15" x14ac:dyDescent="0.25">
      <c r="A593" s="1" t="s">
        <v>1181</v>
      </c>
      <c r="B593" s="2">
        <f>HYPERLINK("https://www.omim.org/entry/603701",603701)</f>
        <v>603701</v>
      </c>
      <c r="C593" s="3">
        <f>HYPERLINK("https://www.omim.org/entry/613309",613309)</f>
        <v>613309</v>
      </c>
      <c r="I593" s="6" t="s">
        <v>1182</v>
      </c>
    </row>
    <row r="594" spans="1:9" ht="15" x14ac:dyDescent="0.25">
      <c r="A594" s="1" t="s">
        <v>1183</v>
      </c>
      <c r="B594" s="2">
        <f>HYPERLINK("https://www.omim.org/entry/603702",603702)</f>
        <v>603702</v>
      </c>
      <c r="C594" s="3">
        <f>HYPERLINK("https://www.omim.org/entry/617409",617409)</f>
        <v>617409</v>
      </c>
      <c r="I594" s="6" t="s">
        <v>1184</v>
      </c>
    </row>
    <row r="595" spans="1:9" ht="15" x14ac:dyDescent="0.25">
      <c r="A595" s="1" t="s">
        <v>1185</v>
      </c>
      <c r="B595" s="2">
        <f>HYPERLINK("https://www.omim.org/entry/603685",603685)</f>
        <v>603685</v>
      </c>
      <c r="C595" s="3">
        <f>HYPERLINK("https://www.omim.org/entry/606164",606164)</f>
        <v>606164</v>
      </c>
      <c r="I595" s="6" t="s">
        <v>1186</v>
      </c>
    </row>
    <row r="596" spans="1:9" ht="15" x14ac:dyDescent="0.25">
      <c r="A596" s="1" t="s">
        <v>1187</v>
      </c>
      <c r="B596" s="2">
        <f>HYPERLINK("https://www.omim.org/entry/603633",603633)</f>
        <v>603633</v>
      </c>
      <c r="C596" s="3">
        <f>HYPERLINK("https://www.omim.org/entry/615909",615909)</f>
        <v>615909</v>
      </c>
      <c r="I596" s="6" t="s">
        <v>1188</v>
      </c>
    </row>
    <row r="597" spans="1:9" ht="15" x14ac:dyDescent="0.25">
      <c r="A597" s="1" t="s">
        <v>1189</v>
      </c>
      <c r="B597" s="2">
        <f>HYPERLINK("https://www.omim.org/entry/603658",603658)</f>
        <v>603658</v>
      </c>
      <c r="C597" s="3">
        <f>HYPERLINK("https://www.omim.org/entry/612563",612563)</f>
        <v>612563</v>
      </c>
      <c r="I597" s="6" t="s">
        <v>1190</v>
      </c>
    </row>
    <row r="598" spans="1:9" ht="15" x14ac:dyDescent="0.25">
      <c r="A598" s="1" t="s">
        <v>1191</v>
      </c>
      <c r="B598" s="2">
        <f>HYPERLINK("https://www.omim.org/entry/600098",600098)</f>
        <v>600098</v>
      </c>
      <c r="C598" s="3">
        <f>HYPERLINK("https://www.omim.org/entry/618624",618624)</f>
        <v>618624</v>
      </c>
      <c r="I598" s="6" t="s">
        <v>1192</v>
      </c>
    </row>
    <row r="599" spans="1:9" ht="15" x14ac:dyDescent="0.25">
      <c r="A599" s="1" t="s">
        <v>1193</v>
      </c>
      <c r="B599" s="2">
        <f>HYPERLINK("https://www.omim.org/entry/609314",609314)</f>
        <v>609314</v>
      </c>
      <c r="C599" s="3">
        <f>HYPERLINK("https://www.omim.org/entry/615481",615481)</f>
        <v>615481</v>
      </c>
      <c r="I599" s="6" t="s">
        <v>1194</v>
      </c>
    </row>
    <row r="600" spans="1:9" ht="15" x14ac:dyDescent="0.25">
      <c r="A600" s="1" t="s">
        <v>1195</v>
      </c>
      <c r="B600" s="2">
        <f>HYPERLINK("https://www.omim.org/entry/615876",615876)</f>
        <v>615876</v>
      </c>
      <c r="C600" s="3">
        <f>HYPERLINK("https://www.omim.org/entry/616481",616481)</f>
        <v>616481</v>
      </c>
      <c r="I600" s="6" t="s">
        <v>1196</v>
      </c>
    </row>
    <row r="601" spans="1:9" ht="15" x14ac:dyDescent="0.25">
      <c r="A601" s="1" t="s">
        <v>1197</v>
      </c>
      <c r="B601" s="2">
        <f>HYPERLINK("https://www.omim.org/entry/612647",612647)</f>
        <v>612647</v>
      </c>
      <c r="C601" s="3">
        <f>HYPERLINK("https://www.omim.org/entry/612649",612649)</f>
        <v>612649</v>
      </c>
      <c r="I601" s="6" t="s">
        <v>1198</v>
      </c>
    </row>
    <row r="602" spans="1:9" ht="15" x14ac:dyDescent="0.25">
      <c r="A602" s="1" t="s">
        <v>1199</v>
      </c>
      <c r="B602" s="2">
        <f>HYPERLINK("https://www.omim.org/entry/612648",612648)</f>
        <v>612648</v>
      </c>
      <c r="C602" s="3">
        <f>HYPERLINK("https://www.omim.org/entry/612650",612650)</f>
        <v>612650</v>
      </c>
      <c r="I602" s="6" t="s">
        <v>1200</v>
      </c>
    </row>
    <row r="603" spans="1:9" ht="15" x14ac:dyDescent="0.25">
      <c r="A603" s="1" t="s">
        <v>1201</v>
      </c>
      <c r="B603" s="2">
        <f>HYPERLINK("https://www.omim.org/entry/180901",180901)</f>
        <v>180901</v>
      </c>
      <c r="C603" s="3">
        <f>HYPERLINK("https://www.omim.org/entry/145600",145600)</f>
        <v>145600</v>
      </c>
      <c r="I603" s="6" t="s">
        <v>1202</v>
      </c>
    </row>
    <row r="604" spans="1:9" ht="15" x14ac:dyDescent="0.25">
      <c r="A604" s="1" t="s">
        <v>1203</v>
      </c>
      <c r="B604" s="2">
        <f>HYPERLINK("https://www.omim.org/entry/180902",180902)</f>
        <v>180902</v>
      </c>
      <c r="C604" s="3">
        <f>HYPERLINK("https://www.omim.org/entry/604772",604772)</f>
        <v>604772</v>
      </c>
      <c r="I604" s="6" t="s">
        <v>1204</v>
      </c>
    </row>
    <row r="605" spans="1:9" ht="15" x14ac:dyDescent="0.25">
      <c r="A605" s="1" t="s">
        <v>1205</v>
      </c>
      <c r="B605" s="2">
        <f>HYPERLINK("https://www.omim.org/entry/605111",605111)</f>
        <v>605111</v>
      </c>
      <c r="C605" s="3">
        <f>HYPERLINK("https://www.omim.org/entry/610419",610419)</f>
        <v>610419</v>
      </c>
      <c r="I605" s="6" t="s">
        <v>1206</v>
      </c>
    </row>
    <row r="606" spans="1:9" ht="15" x14ac:dyDescent="0.25">
      <c r="A606" s="1" t="s">
        <v>1207</v>
      </c>
      <c r="B606" s="2">
        <f>HYPERLINK("https://www.omim.org/entry/606754",606754)</f>
        <v>606754</v>
      </c>
      <c r="C606" s="3">
        <f>HYPERLINK("https://www.omim.org/entry/612952",612952)</f>
        <v>612952</v>
      </c>
      <c r="I606" s="6" t="s">
        <v>1208</v>
      </c>
    </row>
    <row r="607" spans="1:9" ht="15" x14ac:dyDescent="0.25">
      <c r="A607" s="1" t="s">
        <v>1209</v>
      </c>
      <c r="B607" s="2">
        <f>HYPERLINK("https://www.omim.org/entry/607690",607690)</f>
        <v>607690</v>
      </c>
      <c r="C607" s="3">
        <f>HYPERLINK("https://www.omim.org/entry/246700",246700)</f>
        <v>246700</v>
      </c>
      <c r="I607" s="6" t="s">
        <v>1210</v>
      </c>
    </row>
    <row r="608" spans="1:9" ht="15" x14ac:dyDescent="0.25">
      <c r="A608" s="1" t="s">
        <v>1211</v>
      </c>
      <c r="B608" s="2">
        <f>HYPERLINK("https://www.omim.org/entry/607444",607444)</f>
        <v>607444</v>
      </c>
      <c r="C608" s="3">
        <f>HYPERLINK("https://www.omim.org/entry/260400",260400)</f>
        <v>260400</v>
      </c>
      <c r="I608" s="6" t="s">
        <v>1212</v>
      </c>
    </row>
    <row r="609" spans="1:9" ht="15" x14ac:dyDescent="0.25">
      <c r="A609" s="1" t="s">
        <v>1213</v>
      </c>
      <c r="B609" s="2">
        <f>HYPERLINK("https://www.omim.org/entry/603967",603967)</f>
        <v>603967</v>
      </c>
      <c r="C609" s="3">
        <f>HYPERLINK("https://www.omim.org/entry/613345",613345)</f>
        <v>613345</v>
      </c>
      <c r="D609" s="15">
        <f>HYPERLINK("https://www.omim.org/entry/614198",614198)</f>
        <v>614198</v>
      </c>
      <c r="I609" s="6" t="s">
        <v>1214</v>
      </c>
    </row>
    <row r="610" spans="1:9" ht="15" x14ac:dyDescent="0.25">
      <c r="A610" s="1" t="s">
        <v>1215</v>
      </c>
      <c r="B610" s="2">
        <f>HYPERLINK("https://www.omim.org/entry/600163",600163)</f>
        <v>600163</v>
      </c>
      <c r="C610" s="3">
        <f>HYPERLINK("https://www.omim.org/entry/603830",603830)</f>
        <v>603830</v>
      </c>
      <c r="I610" s="6" t="s">
        <v>1216</v>
      </c>
    </row>
    <row r="611" spans="1:9" ht="15" x14ac:dyDescent="0.25">
      <c r="A611" s="1" t="s">
        <v>1217</v>
      </c>
      <c r="B611" s="2">
        <f>HYPERLINK("https://www.omim.org/entry/600228",600228)</f>
        <v>600228</v>
      </c>
      <c r="C611" s="3">
        <f>HYPERLINK("https://www.omim.org/entry/264350",264350)</f>
        <v>264350</v>
      </c>
      <c r="D611" s="15">
        <f>HYPERLINK("https://www.omim.org/entry/613021",613021)</f>
        <v>613021</v>
      </c>
      <c r="I611" s="6" t="s">
        <v>1218</v>
      </c>
    </row>
    <row r="612" spans="1:9" ht="15" x14ac:dyDescent="0.25">
      <c r="A612" s="1" t="s">
        <v>1219</v>
      </c>
      <c r="B612" s="2">
        <f>HYPERLINK("https://www.omim.org/entry/600760",600760)</f>
        <v>600760</v>
      </c>
      <c r="C612" s="3">
        <f>HYPERLINK("https://www.omim.org/entry/620125",620125)</f>
        <v>620125</v>
      </c>
      <c r="I612" s="6" t="s">
        <v>1220</v>
      </c>
    </row>
    <row r="613" spans="1:9" ht="15" x14ac:dyDescent="0.25">
      <c r="A613" s="1" t="s">
        <v>1221</v>
      </c>
      <c r="B613" s="2">
        <f>HYPERLINK("https://www.omim.org/entry/600761",600761)</f>
        <v>600761</v>
      </c>
      <c r="C613" s="3">
        <f>HYPERLINK("https://www.omim.org/entry/620126",620126)</f>
        <v>620126</v>
      </c>
      <c r="I613" s="6" t="s">
        <v>1222</v>
      </c>
    </row>
    <row r="614" spans="1:9" ht="15" x14ac:dyDescent="0.25">
      <c r="A614" s="1" t="s">
        <v>1223</v>
      </c>
      <c r="B614" s="2">
        <f>HYPERLINK("https://www.omim.org/entry/607693",607693)</f>
        <v>607693</v>
      </c>
      <c r="C614" s="3">
        <f>HYPERLINK("https://www.omim.org/entry/609698",609698)</f>
        <v>609698</v>
      </c>
      <c r="I614" s="6" t="s">
        <v>1224</v>
      </c>
    </row>
    <row r="615" spans="1:9" ht="15" x14ac:dyDescent="0.25">
      <c r="A615" s="1" t="s">
        <v>1225</v>
      </c>
      <c r="B615" s="2">
        <f>HYPERLINK("https://www.omim.org/entry/606860",606860)</f>
        <v>606860</v>
      </c>
      <c r="C615" s="3">
        <f>HYPERLINK("https://www.omim.org/entry/106100",106100)</f>
        <v>106100</v>
      </c>
      <c r="I615" s="6" t="s">
        <v>1226</v>
      </c>
    </row>
    <row r="616" spans="1:9" ht="15" x14ac:dyDescent="0.25">
      <c r="A616" s="1" t="s">
        <v>1227</v>
      </c>
      <c r="B616" s="2">
        <f>HYPERLINK("https://www.omim.org/entry/178620",178620)</f>
        <v>178620</v>
      </c>
      <c r="C616" s="3">
        <f>HYPERLINK("https://www.omim.org/entry/610913",610913)</f>
        <v>610913</v>
      </c>
      <c r="I616" s="6" t="s">
        <v>1228</v>
      </c>
    </row>
    <row r="617" spans="1:9" ht="15" x14ac:dyDescent="0.25">
      <c r="A617" s="1" t="s">
        <v>1229</v>
      </c>
      <c r="B617" s="2">
        <f>HYPERLINK("https://www.omim.org/entry/603729",603729)</f>
        <v>603729</v>
      </c>
      <c r="C617" s="3">
        <f>HYPERLINK("https://www.omim.org/entry/617575",617575)</f>
        <v>617575</v>
      </c>
      <c r="I617" s="6" t="s">
        <v>1230</v>
      </c>
    </row>
    <row r="618" spans="1:9" ht="15" x14ac:dyDescent="0.25">
      <c r="A618" s="1" t="s">
        <v>1231</v>
      </c>
      <c r="B618" s="2">
        <f>HYPERLINK("https://www.omim.org/entry/300490",300490)</f>
        <v>300490</v>
      </c>
      <c r="C618" s="3">
        <f>HYPERLINK("https://www.omim.org/entry/308240",308240)</f>
        <v>308240</v>
      </c>
      <c r="I618" s="6" t="s">
        <v>1232</v>
      </c>
    </row>
    <row r="619" spans="1:9" ht="15" x14ac:dyDescent="0.25">
      <c r="A619" s="1" t="s">
        <v>1233</v>
      </c>
      <c r="B619" s="2">
        <f>HYPERLINK("https://www.omim.org/entry/602775",602775)</f>
        <v>602775</v>
      </c>
      <c r="C619" s="3">
        <f>HYPERLINK("https://www.omim.org/entry/607721",607721)</f>
        <v>607721</v>
      </c>
      <c r="I619" s="6" t="s">
        <v>1234</v>
      </c>
    </row>
    <row r="620" spans="1:9" ht="15" x14ac:dyDescent="0.25">
      <c r="A620" s="1" t="s">
        <v>1235</v>
      </c>
      <c r="B620" s="2">
        <f>HYPERLINK("https://www.omim.org/entry/609845",609845)</f>
        <v>609845</v>
      </c>
      <c r="C620" s="3">
        <f>HYPERLINK("https://www.omim.org/entry/222900",222900)</f>
        <v>222900</v>
      </c>
      <c r="I620" s="6" t="s">
        <v>1236</v>
      </c>
    </row>
    <row r="621" spans="1:9" ht="15" x14ac:dyDescent="0.25">
      <c r="A621" s="1" t="s">
        <v>1237</v>
      </c>
      <c r="B621" s="2">
        <f>HYPERLINK("https://www.omim.org/entry/601205",601205)</f>
        <v>601205</v>
      </c>
      <c r="C621" s="3">
        <f>HYPERLINK("https://www.omim.org/entry/608389",608389)</f>
        <v>608389</v>
      </c>
      <c r="I621" s="6" t="s">
        <v>1238</v>
      </c>
    </row>
    <row r="622" spans="1:9" ht="15" x14ac:dyDescent="0.25">
      <c r="A622" s="1" t="s">
        <v>1239</v>
      </c>
      <c r="B622" s="2">
        <f>HYPERLINK("https://www.omim.org/entry/600839",600839)</f>
        <v>600839</v>
      </c>
      <c r="C622" s="3">
        <f>HYPERLINK("https://www.omim.org/entry/601678",601678)</f>
        <v>601678</v>
      </c>
      <c r="I622" s="6" t="s">
        <v>1240</v>
      </c>
    </row>
    <row r="623" spans="1:9" ht="15" x14ac:dyDescent="0.25">
      <c r="A623" s="1" t="s">
        <v>1241</v>
      </c>
      <c r="B623" s="2">
        <f>HYPERLINK("https://www.omim.org/entry/600682",600682)</f>
        <v>600682</v>
      </c>
      <c r="C623" s="3">
        <f>HYPERLINK("https://www.omim.org/entry/616095",616095)</f>
        <v>616095</v>
      </c>
      <c r="I623" s="6" t="s">
        <v>1242</v>
      </c>
    </row>
    <row r="624" spans="1:9" ht="15" x14ac:dyDescent="0.25">
      <c r="A624" s="1" t="s">
        <v>1243</v>
      </c>
      <c r="B624" s="2">
        <f>HYPERLINK("https://www.omim.org/entry/607557",607557)</f>
        <v>607557</v>
      </c>
      <c r="C624" s="3">
        <f>HYPERLINK("https://www.omim.org/entry/605583",605583)</f>
        <v>605583</v>
      </c>
      <c r="I624" s="6" t="s">
        <v>1244</v>
      </c>
    </row>
    <row r="625" spans="1:9" ht="15" x14ac:dyDescent="0.25">
      <c r="A625" s="1" t="s">
        <v>1245</v>
      </c>
      <c r="B625" s="2">
        <f>HYPERLINK("https://www.omim.org/entry/600336",600336)</f>
        <v>600336</v>
      </c>
      <c r="C625" s="3">
        <f>HYPERLINK("https://www.omim.org/entry/617239",617239)</f>
        <v>617239</v>
      </c>
      <c r="I625" s="6" t="s">
        <v>1246</v>
      </c>
    </row>
    <row r="626" spans="1:9" ht="15" x14ac:dyDescent="0.25">
      <c r="A626" s="1" t="s">
        <v>1247</v>
      </c>
      <c r="B626" s="2">
        <f>HYPERLINK("https://www.omim.org/entry/600424",600424)</f>
        <v>600424</v>
      </c>
      <c r="C626" s="3">
        <f>HYPERLINK("https://www.omim.org/entry/620603",620603)</f>
        <v>620603</v>
      </c>
      <c r="D626" s="15">
        <f>HYPERLINK("https://www.omim.org/entry/601775",601775)</f>
        <v>601775</v>
      </c>
      <c r="I626" s="6" t="s">
        <v>1248</v>
      </c>
    </row>
    <row r="627" spans="1:9" ht="15" x14ac:dyDescent="0.25">
      <c r="A627" s="1" t="s">
        <v>1249</v>
      </c>
      <c r="B627" s="2">
        <f>HYPERLINK("https://www.omim.org/entry/603941",603941)</f>
        <v>603941</v>
      </c>
      <c r="C627" s="3">
        <f>HYPERLINK("https://www.omim.org/entry/249270",249270)</f>
        <v>249270</v>
      </c>
      <c r="I627" s="6" t="s">
        <v>1250</v>
      </c>
    </row>
    <row r="628" spans="1:9" ht="15" x14ac:dyDescent="0.25">
      <c r="A628" s="1" t="s">
        <v>1251</v>
      </c>
      <c r="B628" s="2">
        <f>HYPERLINK("https://www.omim.org/entry/606152",606152)</f>
        <v>606152</v>
      </c>
      <c r="C628" s="3">
        <f>HYPERLINK("https://www.omim.org/entry/607483",607483)</f>
        <v>607483</v>
      </c>
      <c r="I628" s="6" t="s">
        <v>1252</v>
      </c>
    </row>
    <row r="629" spans="1:9" ht="15" x14ac:dyDescent="0.25">
      <c r="A629" s="1" t="s">
        <v>1253</v>
      </c>
      <c r="B629" s="2">
        <f>HYPERLINK("https://www.omim.org/entry/603377",603377)</f>
        <v>603377</v>
      </c>
      <c r="C629" s="3">
        <f>HYPERLINK("https://www.omim.org/entry/212140",212140)</f>
        <v>212140</v>
      </c>
      <c r="I629" s="6" t="s">
        <v>1254</v>
      </c>
    </row>
    <row r="630" spans="1:9" ht="15" x14ac:dyDescent="0.25">
      <c r="A630" s="1" t="s">
        <v>1255</v>
      </c>
      <c r="B630" s="2">
        <f>HYPERLINK("https://www.omim.org/entry/190315",190315)</f>
        <v>190315</v>
      </c>
      <c r="C630" s="3">
        <f>HYPERLINK("https://www.omim.org/entry/618197",618197)</f>
        <v>618197</v>
      </c>
      <c r="I630" s="6" t="s">
        <v>1256</v>
      </c>
    </row>
    <row r="631" spans="1:9" ht="15" x14ac:dyDescent="0.25">
      <c r="A631" s="1" t="s">
        <v>1257</v>
      </c>
      <c r="B631" s="2">
        <f>HYPERLINK("https://www.omim.org/entry/603859",603859)</f>
        <v>603859</v>
      </c>
      <c r="C631" s="3">
        <f>HYPERLINK("https://www.omim.org/entry/605814",605814)</f>
        <v>605814</v>
      </c>
      <c r="I631" s="6" t="s">
        <v>1258</v>
      </c>
    </row>
    <row r="632" spans="1:9" ht="15" x14ac:dyDescent="0.25">
      <c r="A632" s="1" t="s">
        <v>1259</v>
      </c>
      <c r="B632" s="2">
        <f>HYPERLINK("https://www.omim.org/entry/603861",603861)</f>
        <v>603861</v>
      </c>
      <c r="C632" s="3">
        <f>HYPERLINK("https://www.omim.org/entry/238970",238970)</f>
        <v>238970</v>
      </c>
      <c r="I632" s="6" t="s">
        <v>1260</v>
      </c>
    </row>
    <row r="633" spans="1:9" ht="15" x14ac:dyDescent="0.25">
      <c r="A633" s="1" t="s">
        <v>1261</v>
      </c>
      <c r="B633" s="2">
        <f>HYPERLINK("https://www.omim.org/entry/606521",606521)</f>
        <v>606521</v>
      </c>
      <c r="C633" s="3">
        <f>HYPERLINK("https://www.omim.org/entry/613710",613710)</f>
        <v>613710</v>
      </c>
      <c r="I633" s="6" t="s">
        <v>1262</v>
      </c>
    </row>
    <row r="634" spans="1:9" ht="15" x14ac:dyDescent="0.25">
      <c r="A634" s="1" t="s">
        <v>1263</v>
      </c>
      <c r="B634" s="2">
        <f>HYPERLINK("https://www.omim.org/entry/613698",613698)</f>
        <v>613698</v>
      </c>
      <c r="C634" s="3">
        <f>HYPERLINK("https://www.omim.org/entry/212138",212138)</f>
        <v>212138</v>
      </c>
      <c r="I634" s="6" t="s">
        <v>1264</v>
      </c>
    </row>
    <row r="635" spans="1:9" ht="15" x14ac:dyDescent="0.25">
      <c r="A635" s="1" t="s">
        <v>1265</v>
      </c>
      <c r="B635" s="2">
        <f>HYPERLINK("https://www.omim.org/entry/138480",138480)</f>
        <v>138480</v>
      </c>
      <c r="C635" s="3">
        <f>HYPERLINK("https://www.omim.org/entry/616839",616839)</f>
        <v>616839</v>
      </c>
      <c r="I635" s="6" t="s">
        <v>1266</v>
      </c>
    </row>
    <row r="636" spans="1:9" ht="15" x14ac:dyDescent="0.25">
      <c r="A636" s="1" t="s">
        <v>1267</v>
      </c>
      <c r="B636" s="2">
        <f>HYPERLINK("https://www.omim.org/entry/610819",610819)</f>
        <v>610819</v>
      </c>
      <c r="C636" s="3">
        <f>HYPERLINK("https://www.omim.org/entry/205950",205950)</f>
        <v>205950</v>
      </c>
      <c r="I636" s="6" t="s">
        <v>1268</v>
      </c>
    </row>
    <row r="637" spans="1:9" ht="15" x14ac:dyDescent="0.25">
      <c r="A637" s="1" t="s">
        <v>1269</v>
      </c>
      <c r="B637" s="2">
        <f>HYPERLINK("https://www.omim.org/entry/126650",126650)</f>
        <v>126650</v>
      </c>
      <c r="C637" s="3">
        <f>HYPERLINK("https://www.omim.org/entry/214700",214700)</f>
        <v>214700</v>
      </c>
      <c r="I637" s="6" t="s">
        <v>1270</v>
      </c>
    </row>
    <row r="638" spans="1:9" ht="15" x14ac:dyDescent="0.25">
      <c r="A638" s="1" t="s">
        <v>1271</v>
      </c>
      <c r="B638" s="2">
        <f>HYPERLINK("https://www.omim.org/entry/605646",605646)</f>
        <v>605646</v>
      </c>
      <c r="C638" s="3">
        <f>HYPERLINK("https://www.omim.org/entry/274600",274600)</f>
        <v>274600</v>
      </c>
      <c r="I638" s="6" t="s">
        <v>1272</v>
      </c>
    </row>
    <row r="639" spans="1:9" ht="15" x14ac:dyDescent="0.25">
      <c r="A639" s="1" t="s">
        <v>1273</v>
      </c>
      <c r="B639" s="2">
        <f>HYPERLINK("https://www.omim.org/entry/138140",138140)</f>
        <v>138140</v>
      </c>
      <c r="C639" s="3">
        <f>HYPERLINK("https://www.omim.org/entry/606777",606777)</f>
        <v>606777</v>
      </c>
      <c r="I639" s="6" t="s">
        <v>1274</v>
      </c>
    </row>
    <row r="640" spans="1:9" ht="15" x14ac:dyDescent="0.25">
      <c r="A640" s="1" t="s">
        <v>1275</v>
      </c>
      <c r="B640" s="2">
        <f>HYPERLINK("https://www.omim.org/entry/606145",606145)</f>
        <v>606145</v>
      </c>
      <c r="C640" s="3">
        <f>HYPERLINK("https://www.omim.org/entry/208050",208050)</f>
        <v>208050</v>
      </c>
      <c r="I640" s="6" t="s">
        <v>1276</v>
      </c>
    </row>
    <row r="641" spans="1:9" ht="15" x14ac:dyDescent="0.25">
      <c r="A641" s="1" t="s">
        <v>1277</v>
      </c>
      <c r="B641" s="2">
        <f>HYPERLINK("https://www.omim.org/entry/138160",138160)</f>
        <v>138160</v>
      </c>
      <c r="C641" s="3">
        <f>HYPERLINK("https://www.omim.org/entry/227810",227810)</f>
        <v>227810</v>
      </c>
      <c r="I641" s="6" t="s">
        <v>1278</v>
      </c>
    </row>
    <row r="642" spans="1:9" ht="15" x14ac:dyDescent="0.25">
      <c r="A642" s="1" t="s">
        <v>1279</v>
      </c>
      <c r="B642" s="2">
        <f>HYPERLINK("https://www.omim.org/entry/611146",611146)</f>
        <v>611146</v>
      </c>
      <c r="C642" s="3">
        <f>HYPERLINK("https://www.omim.org/entry/613280",613280)</f>
        <v>613280</v>
      </c>
      <c r="I642" s="6" t="s">
        <v>1280</v>
      </c>
    </row>
    <row r="643" spans="1:9" ht="15" x14ac:dyDescent="0.25">
      <c r="A643" s="1" t="s">
        <v>1281</v>
      </c>
      <c r="B643" s="2">
        <f>HYPERLINK("https://www.omim.org/entry/609826",609826)</f>
        <v>609826</v>
      </c>
      <c r="C643" s="3">
        <f>HYPERLINK("https://www.omim.org/entry/241530",241530)</f>
        <v>241530</v>
      </c>
      <c r="I643" s="6" t="s">
        <v>1282</v>
      </c>
    </row>
    <row r="644" spans="1:9" ht="15" x14ac:dyDescent="0.25">
      <c r="A644" s="1" t="s">
        <v>1283</v>
      </c>
      <c r="B644" s="2">
        <f>HYPERLINK("https://www.omim.org/entry/602671",602671)</f>
        <v>602671</v>
      </c>
      <c r="C644" s="3">
        <f>HYPERLINK("https://www.omim.org/entry/232220",232220)</f>
        <v>232220</v>
      </c>
      <c r="D644" s="15">
        <f>HYPERLINK("https://www.omim.org/entry/232240",232240)</f>
        <v>232240</v>
      </c>
      <c r="I644" s="6" t="s">
        <v>1284</v>
      </c>
    </row>
    <row r="645" spans="1:9" ht="15" x14ac:dyDescent="0.25">
      <c r="A645" s="1" t="s">
        <v>1285</v>
      </c>
      <c r="B645" s="2">
        <f>HYPERLINK("https://www.omim.org/entry/607059",607059)</f>
        <v>607059</v>
      </c>
      <c r="C645" s="3">
        <f>HYPERLINK("https://www.omim.org/entry/201100",201100)</f>
        <v>201100</v>
      </c>
      <c r="I645" s="6" t="s">
        <v>1286</v>
      </c>
    </row>
    <row r="646" spans="1:9" ht="15" x14ac:dyDescent="0.25">
      <c r="A646" s="1" t="s">
        <v>1287</v>
      </c>
      <c r="B646" s="2">
        <f>HYPERLINK("https://www.omim.org/entry/601416",601416)</f>
        <v>601416</v>
      </c>
      <c r="C646" s="3">
        <f>HYPERLINK("https://www.omim.org/entry/619693",619693)</f>
        <v>619693</v>
      </c>
      <c r="I646" s="6" t="s">
        <v>1288</v>
      </c>
    </row>
    <row r="647" spans="1:9" ht="15" x14ac:dyDescent="0.25">
      <c r="A647" s="1" t="s">
        <v>1289</v>
      </c>
      <c r="B647" s="2">
        <f>HYPERLINK("https://www.omim.org/entry/608732",608732)</f>
        <v>608732</v>
      </c>
      <c r="C647" s="3">
        <f>HYPERLINK("https://www.omim.org/entry/616721",616721)</f>
        <v>616721</v>
      </c>
      <c r="I647" s="6" t="s">
        <v>1290</v>
      </c>
    </row>
    <row r="648" spans="1:9" ht="15" x14ac:dyDescent="0.25">
      <c r="A648" s="1" t="s">
        <v>1291</v>
      </c>
      <c r="B648" s="2">
        <f>HYPERLINK("https://www.omim.org/entry/104614",104614)</f>
        <v>104614</v>
      </c>
      <c r="C648" s="3">
        <f>HYPERLINK("https://www.omim.org/entry/220100",220100)</f>
        <v>220100</v>
      </c>
      <c r="I648" s="6" t="s">
        <v>1292</v>
      </c>
    </row>
    <row r="649" spans="1:9" ht="15" x14ac:dyDescent="0.25">
      <c r="A649" s="1" t="s">
        <v>1293</v>
      </c>
      <c r="B649" s="2">
        <f>HYPERLINK("https://www.omim.org/entry/611672",611672)</f>
        <v>611672</v>
      </c>
      <c r="C649" s="3">
        <f>HYPERLINK("https://www.omim.org/entry/229050",229050)</f>
        <v>229050</v>
      </c>
      <c r="I649" s="6" t="s">
        <v>1294</v>
      </c>
    </row>
    <row r="650" spans="1:9" ht="15" x14ac:dyDescent="0.25">
      <c r="A650" s="1" t="s">
        <v>1295</v>
      </c>
      <c r="B650" s="2">
        <f>HYPERLINK("https://www.omim.org/entry/109270",109270)</f>
        <v>109270</v>
      </c>
      <c r="C650" s="3">
        <f>HYPERLINK("https://www.omim.org/entry/179800",179800)</f>
        <v>179800</v>
      </c>
      <c r="D650" s="15">
        <f>HYPERLINK("https://www.omim.org/entry/611590",611590)</f>
        <v>611590</v>
      </c>
      <c r="I650" s="6" t="s">
        <v>1296</v>
      </c>
    </row>
    <row r="651" spans="1:9" ht="15" x14ac:dyDescent="0.25">
      <c r="A651" s="1" t="s">
        <v>1297</v>
      </c>
      <c r="B651" s="2">
        <f>HYPERLINK("https://www.omim.org/entry/607883",607883)</f>
        <v>607883</v>
      </c>
      <c r="C651" s="3">
        <f>HYPERLINK("https://www.omim.org/entry/615026",615026)</f>
        <v>615026</v>
      </c>
      <c r="I651" s="6" t="s">
        <v>1298</v>
      </c>
    </row>
    <row r="652" spans="1:9" ht="15" x14ac:dyDescent="0.25">
      <c r="A652" s="1" t="s">
        <v>1299</v>
      </c>
      <c r="B652" s="2">
        <f>HYPERLINK("https://www.omim.org/entry/607882",607882)</f>
        <v>607882</v>
      </c>
      <c r="C652" s="3">
        <f>HYPERLINK("https://www.omim.org/entry/614707",614707)</f>
        <v>614707</v>
      </c>
      <c r="I652" s="6" t="s">
        <v>1300</v>
      </c>
    </row>
    <row r="653" spans="1:9" ht="15" x14ac:dyDescent="0.25">
      <c r="A653" s="1" t="s">
        <v>1301</v>
      </c>
      <c r="B653" s="2">
        <f>HYPERLINK("https://www.omim.org/entry/613350",613350)</f>
        <v>613350</v>
      </c>
      <c r="C653" s="3">
        <f>HYPERLINK("https://www.omim.org/entry/211530",211530)</f>
        <v>211530</v>
      </c>
      <c r="I653" s="6" t="s">
        <v>1302</v>
      </c>
    </row>
    <row r="654" spans="1:9" ht="15" x14ac:dyDescent="0.25">
      <c r="A654" s="1" t="s">
        <v>1303</v>
      </c>
      <c r="B654" s="2">
        <f>HYPERLINK("https://www.omim.org/entry/182380",182380)</f>
        <v>182380</v>
      </c>
      <c r="C654" s="3">
        <f>HYPERLINK("https://www.omim.org/entry/606824",606824)</f>
        <v>606824</v>
      </c>
      <c r="I654" s="6" t="s">
        <v>1304</v>
      </c>
    </row>
    <row r="655" spans="1:9" ht="15" x14ac:dyDescent="0.25">
      <c r="A655" s="1" t="s">
        <v>1305</v>
      </c>
      <c r="B655" s="2">
        <f>HYPERLINK("https://www.omim.org/entry/601843",601843)</f>
        <v>601843</v>
      </c>
      <c r="C655" s="3">
        <f>HYPERLINK("https://www.omim.org/entry/274400",274400)</f>
        <v>274400</v>
      </c>
      <c r="I655" s="6" t="s">
        <v>1306</v>
      </c>
    </row>
    <row r="656" spans="1:9" ht="15" x14ac:dyDescent="0.25">
      <c r="A656" s="1" t="s">
        <v>1307</v>
      </c>
      <c r="B656" s="2">
        <f>HYPERLINK("https://www.omim.org/entry/604024",604024)</f>
        <v>604024</v>
      </c>
      <c r="C656" s="3">
        <f>HYPERLINK("https://www.omim.org/entry/618973",618973)</f>
        <v>618973</v>
      </c>
      <c r="D656" s="15">
        <f>HYPERLINK("https://www.omim.org/entry/619903",619903)</f>
        <v>619903</v>
      </c>
      <c r="I656" s="6" t="s">
        <v>1308</v>
      </c>
    </row>
    <row r="657" spans="1:9" ht="15" x14ac:dyDescent="0.25">
      <c r="A657" s="1" t="s">
        <v>1309</v>
      </c>
      <c r="B657" s="2">
        <f>HYPERLINK("https://www.omim.org/entry/608761",608761)</f>
        <v>608761</v>
      </c>
      <c r="C657" s="3">
        <f>HYPERLINK("https://www.omim.org/entry/617143",617143)</f>
        <v>617143</v>
      </c>
      <c r="I657" s="6" t="s">
        <v>1310</v>
      </c>
    </row>
    <row r="658" spans="1:9" ht="15" x14ac:dyDescent="0.25">
      <c r="A658" s="1" t="s">
        <v>1311</v>
      </c>
      <c r="B658" s="2">
        <f>HYPERLINK("https://www.omim.org/entry/604159",604159)</f>
        <v>604159</v>
      </c>
      <c r="C658" s="3">
        <f>HYPERLINK("https://www.omim.org/entry/614618",614618)</f>
        <v>614618</v>
      </c>
      <c r="I658" s="6" t="s">
        <v>1312</v>
      </c>
    </row>
    <row r="659" spans="1:9" ht="15" x14ac:dyDescent="0.25">
      <c r="A659" s="1" t="s">
        <v>1313</v>
      </c>
      <c r="B659" s="2">
        <f>HYPERLINK("https://www.omim.org/entry/186854",186854)</f>
        <v>186854</v>
      </c>
      <c r="C659" s="3">
        <f>HYPERLINK("https://www.omim.org/entry/145350",145350)</f>
        <v>145350</v>
      </c>
      <c r="I659" s="6" t="s">
        <v>1314</v>
      </c>
    </row>
    <row r="660" spans="1:9" ht="15" x14ac:dyDescent="0.25">
      <c r="A660" s="1" t="s">
        <v>1315</v>
      </c>
      <c r="B660" s="2">
        <f>HYPERLINK("https://www.omim.org/entry/300036",300036)</f>
        <v>300036</v>
      </c>
      <c r="C660" s="3">
        <f>HYPERLINK("https://www.omim.org/entry/300352",300352)</f>
        <v>300352</v>
      </c>
      <c r="I660" s="6" t="s">
        <v>1316</v>
      </c>
    </row>
    <row r="661" spans="1:9" ht="15" x14ac:dyDescent="0.25">
      <c r="A661" s="1" t="s">
        <v>1317</v>
      </c>
      <c r="B661" s="2">
        <f>HYPERLINK("https://www.omim.org/entry/603593",603593)</f>
        <v>603593</v>
      </c>
      <c r="C661" s="3">
        <f>HYPERLINK("https://www.omim.org/entry/222700",222700)</f>
        <v>222700</v>
      </c>
      <c r="I661" s="6" t="s">
        <v>1318</v>
      </c>
    </row>
    <row r="662" spans="1:9" ht="15" x14ac:dyDescent="0.25">
      <c r="A662" s="1" t="s">
        <v>1319</v>
      </c>
      <c r="B662" s="2">
        <f>HYPERLINK("https://www.omim.org/entry/604144",604144)</f>
        <v>604144</v>
      </c>
      <c r="C662" s="19">
        <f>HYPERLINK("https://www.omim.org/entry/220100",220100)</f>
        <v>220100</v>
      </c>
      <c r="I662" s="6" t="s">
        <v>1320</v>
      </c>
    </row>
    <row r="663" spans="1:9" ht="15" x14ac:dyDescent="0.25">
      <c r="A663" s="1" t="s">
        <v>1321</v>
      </c>
      <c r="B663" s="2">
        <f>HYPERLINK("https://www.omim.org/entry/182307",182307)</f>
        <v>182307</v>
      </c>
      <c r="C663" s="3">
        <f>HYPERLINK("https://www.omim.org/entry/616868",616868)</f>
        <v>616868</v>
      </c>
      <c r="I663" s="6" t="s">
        <v>1322</v>
      </c>
    </row>
    <row r="664" spans="1:9" ht="15" x14ac:dyDescent="0.25">
      <c r="A664" s="1" t="s">
        <v>1323</v>
      </c>
      <c r="B664" s="2">
        <f>HYPERLINK("https://www.omim.org/entry/609681",609681)</f>
        <v>609681</v>
      </c>
      <c r="C664" s="3">
        <f>HYPERLINK("https://www.omim.org/entry/221200",221200)</f>
        <v>221200</v>
      </c>
      <c r="I664" s="6" t="s">
        <v>1324</v>
      </c>
    </row>
    <row r="665" spans="1:9" ht="15" x14ac:dyDescent="0.25">
      <c r="A665" s="1" t="s">
        <v>1325</v>
      </c>
      <c r="B665" s="2">
        <f>HYPERLINK("https://www.omim.org/entry/613278",613278)</f>
        <v>613278</v>
      </c>
      <c r="C665" s="3">
        <f>HYPERLINK("https://www.omim.org/entry/613951",613951)</f>
        <v>613951</v>
      </c>
      <c r="I665" s="6" t="s">
        <v>1326</v>
      </c>
    </row>
    <row r="666" spans="1:9" ht="15" x14ac:dyDescent="0.25">
      <c r="A666" s="1" t="s">
        <v>1327</v>
      </c>
      <c r="B666" s="2">
        <f>HYPERLINK("https://www.omim.org/entry/601736",601736)</f>
        <v>601736</v>
      </c>
      <c r="C666" s="3">
        <f>HYPERLINK("https://www.omim.org/entry/617475",617475)</f>
        <v>617475</v>
      </c>
      <c r="I666" s="6" t="s">
        <v>1328</v>
      </c>
    </row>
    <row r="667" spans="1:9" ht="15" x14ac:dyDescent="0.25">
      <c r="A667" s="1" t="s">
        <v>1329</v>
      </c>
      <c r="B667" s="2">
        <f>HYPERLINK("https://www.omim.org/entry/600354",600354)</f>
        <v>600354</v>
      </c>
      <c r="C667" s="3">
        <f>HYPERLINK("https://www.omim.org/entry/253550",253550)</f>
        <v>253550</v>
      </c>
      <c r="D667" s="15">
        <f>HYPERLINK("https://www.omim.org/entry/271150",271150)</f>
        <v>271150</v>
      </c>
      <c r="E667" s="15">
        <f>HYPERLINK("https://www.omim.org/entry/253400",253400)</f>
        <v>253400</v>
      </c>
      <c r="F667" s="15">
        <f>HYPERLINK("https://www.omim.org/entry/253300",253300)</f>
        <v>253300</v>
      </c>
      <c r="I667" s="6" t="s">
        <v>1330</v>
      </c>
    </row>
    <row r="668" spans="1:9" ht="15" x14ac:dyDescent="0.25">
      <c r="A668" s="1" t="s">
        <v>1331</v>
      </c>
      <c r="B668" s="2">
        <f>HYPERLINK("https://www.omim.org/entry/607608",607608)</f>
        <v>607608</v>
      </c>
      <c r="C668" s="3">
        <f>HYPERLINK("https://www.omim.org/entry/607616",607616)</f>
        <v>607616</v>
      </c>
      <c r="D668" s="15">
        <f>HYPERLINK("https://www.omim.org/entry/257200",257200)</f>
        <v>257200</v>
      </c>
      <c r="I668" s="6" t="s">
        <v>1332</v>
      </c>
    </row>
    <row r="669" spans="1:9" ht="15" x14ac:dyDescent="0.25">
      <c r="A669" s="1" t="s">
        <v>1333</v>
      </c>
      <c r="B669" s="2">
        <f>HYPERLINK("https://www.omim.org/entry/600322",600322)</f>
        <v>600322</v>
      </c>
      <c r="C669" s="3">
        <f>HYPERLINK("https://www.omim.org/entry/616330",616330)</f>
        <v>616330</v>
      </c>
      <c r="I669" s="6" t="s">
        <v>1334</v>
      </c>
    </row>
    <row r="670" spans="1:9" ht="15" x14ac:dyDescent="0.25">
      <c r="A670" s="1" t="s">
        <v>1335</v>
      </c>
      <c r="B670" s="2">
        <f>HYPERLINK("https://www.omim.org/entry/614780",614780)</f>
        <v>614780</v>
      </c>
      <c r="C670" s="3">
        <f>HYPERLINK("https://www.omim.org/entry/615085",615085)</f>
        <v>615085</v>
      </c>
      <c r="I670" s="6" t="s">
        <v>1336</v>
      </c>
    </row>
    <row r="671" spans="1:9" ht="15" x14ac:dyDescent="0.25">
      <c r="A671" s="1" t="s">
        <v>1337</v>
      </c>
      <c r="B671" s="2">
        <f>HYPERLINK("https://www.omim.org/entry/182530",182530)</f>
        <v>182530</v>
      </c>
      <c r="C671" s="3">
        <f>HYPERLINK("https://www.omim.org/entry/610733",610733)</f>
        <v>610733</v>
      </c>
      <c r="I671" s="6" t="s">
        <v>1338</v>
      </c>
    </row>
    <row r="672" spans="1:9" ht="15" x14ac:dyDescent="0.25">
      <c r="A672" s="1" t="s">
        <v>1339</v>
      </c>
      <c r="B672" s="2">
        <f>HYPERLINK("https://www.omim.org/entry/602229",602229)</f>
        <v>602229</v>
      </c>
      <c r="C672" s="3">
        <f>HYPERLINK("https://www.omim.org/entry/613266",613266)</f>
        <v>613266</v>
      </c>
      <c r="D672" s="15">
        <f>HYPERLINK("https://www.omim.org/entry/609136",609136)</f>
        <v>609136</v>
      </c>
      <c r="E672" s="15">
        <f>HYPERLINK("https://www.omim.org/entry/611584",611584)</f>
        <v>611584</v>
      </c>
      <c r="I672" s="6" t="s">
        <v>1340</v>
      </c>
    </row>
    <row r="673" spans="1:9" ht="15" x14ac:dyDescent="0.25">
      <c r="A673" s="1" t="s">
        <v>1341</v>
      </c>
      <c r="B673" s="2">
        <f>HYPERLINK("https://www.omim.org/entry/313430",313430)</f>
        <v>313430</v>
      </c>
      <c r="C673" s="3">
        <f>HYPERLINK("https://www.omim.org/entry/312000",312000)</f>
        <v>312000</v>
      </c>
      <c r="I673" s="6" t="s">
        <v>1342</v>
      </c>
    </row>
    <row r="674" spans="1:9" ht="15" x14ac:dyDescent="0.25">
      <c r="A674" s="1" t="s">
        <v>1343</v>
      </c>
      <c r="B674" s="2">
        <f>HYPERLINK("https://www.omim.org/entry/604457",604457)</f>
        <v>604457</v>
      </c>
      <c r="C674" s="3">
        <f>HYPERLINK("https://www.omim.org/entry/235550",235550)</f>
        <v>235550</v>
      </c>
      <c r="I674" s="6" t="s">
        <v>1344</v>
      </c>
    </row>
    <row r="675" spans="1:9" ht="15" x14ac:dyDescent="0.25">
      <c r="A675" s="1" t="s">
        <v>1345</v>
      </c>
      <c r="B675" s="2">
        <f>HYPERLINK("https://www.omim.org/entry/603395",603395)</f>
        <v>603395</v>
      </c>
      <c r="C675" s="3">
        <f>HYPERLINK("https://www.omim.org/entry/615505",615505)</f>
        <v>615505</v>
      </c>
      <c r="I675" s="6" t="s">
        <v>1346</v>
      </c>
    </row>
    <row r="676" spans="1:9" ht="15" x14ac:dyDescent="0.25">
      <c r="A676" s="1" t="s">
        <v>1347</v>
      </c>
      <c r="B676" s="2">
        <f>HYPERLINK("https://www.omim.org/entry/605124",605124)</f>
        <v>605124</v>
      </c>
      <c r="C676" s="3">
        <f>HYPERLINK("https://www.omim.org/entry/270420",270420)</f>
        <v>270420</v>
      </c>
      <c r="I676" s="6" t="s">
        <v>1348</v>
      </c>
    </row>
    <row r="677" spans="1:9" ht="15" x14ac:dyDescent="0.25">
      <c r="A677" s="1" t="s">
        <v>1349</v>
      </c>
      <c r="B677" s="2">
        <f>HYPERLINK("https://www.omim.org/entry/182125",182125)</f>
        <v>182125</v>
      </c>
      <c r="C677" s="3">
        <f>HYPERLINK("https://www.omim.org/entry/612716",612716)</f>
        <v>612716</v>
      </c>
      <c r="I677" s="6" t="s">
        <v>1350</v>
      </c>
    </row>
    <row r="678" spans="1:9" ht="15" x14ac:dyDescent="0.25">
      <c r="A678" s="1" t="s">
        <v>1351</v>
      </c>
      <c r="B678" s="2">
        <f>HYPERLINK("https://www.omim.org/entry/604857",604857)</f>
        <v>604857</v>
      </c>
      <c r="C678" s="3">
        <f>HYPERLINK("https://www.omim.org/entry/618752",618752)</f>
        <v>618752</v>
      </c>
      <c r="I678" s="6" t="s">
        <v>1352</v>
      </c>
    </row>
    <row r="679" spans="1:9" ht="15" x14ac:dyDescent="0.25">
      <c r="A679" s="1" t="s">
        <v>1353</v>
      </c>
      <c r="B679" s="2">
        <f>HYPERLINK("https://www.omim.org/entry/600617",600617)</f>
        <v>600617</v>
      </c>
      <c r="C679" s="3">
        <f>HYPERLINK("https://www.omim.org/entry/201710",201710)</f>
        <v>201710</v>
      </c>
      <c r="I679" s="6" t="s">
        <v>1354</v>
      </c>
    </row>
    <row r="680" spans="1:9" ht="15" x14ac:dyDescent="0.25">
      <c r="A680" s="1" t="s">
        <v>1355</v>
      </c>
      <c r="B680" s="2">
        <f>HYPERLINK("https://www.omim.org/entry/600555",600555)</f>
        <v>600555</v>
      </c>
      <c r="C680" s="3">
        <f>HYPERLINK("https://www.omim.org/entry/613796",613796)</f>
        <v>613796</v>
      </c>
      <c r="I680" s="6" t="s">
        <v>1356</v>
      </c>
    </row>
    <row r="681" spans="1:9" ht="15" x14ac:dyDescent="0.25">
      <c r="A681" s="1" t="s">
        <v>1357</v>
      </c>
      <c r="B681" s="2">
        <f>HYPERLINK("https://www.omim.org/entry/102582",102582)</f>
        <v>102582</v>
      </c>
      <c r="C681" s="3">
        <f>HYPERLINK("https://www.omim.org/entry/147060",147060)</f>
        <v>147060</v>
      </c>
      <c r="I681" s="6" t="s">
        <v>1358</v>
      </c>
    </row>
    <row r="682" spans="1:9" ht="15" x14ac:dyDescent="0.25">
      <c r="A682" s="1" t="s">
        <v>1359</v>
      </c>
      <c r="B682" s="2">
        <f>HYPERLINK("https://www.omim.org/entry/605921",605921)</f>
        <v>605921</v>
      </c>
      <c r="C682" s="3">
        <f>HYPERLINK("https://www.omim.org/entry/612783",612783)</f>
        <v>612783</v>
      </c>
      <c r="I682" s="6" t="s">
        <v>1360</v>
      </c>
    </row>
    <row r="683" spans="1:9" ht="15" x14ac:dyDescent="0.25">
      <c r="A683" s="1" t="s">
        <v>1361</v>
      </c>
      <c r="B683" s="2">
        <f>HYPERLINK("https://www.omim.org/entry/604965",604965)</f>
        <v>604965</v>
      </c>
      <c r="C683" s="3">
        <f>HYPERLINK("https://www.omim.org/entry/614868",614868)</f>
        <v>614868</v>
      </c>
      <c r="I683" s="6" t="s">
        <v>1362</v>
      </c>
    </row>
    <row r="684" spans="1:9" ht="15" x14ac:dyDescent="0.25">
      <c r="A684" s="1" t="s">
        <v>1363</v>
      </c>
      <c r="B684" s="2">
        <f>HYPERLINK("https://www.omim.org/entry/606440",606440)</f>
        <v>606440</v>
      </c>
      <c r="C684" s="3">
        <f>HYPERLINK("https://www.omim.org/entry/603720",603720)</f>
        <v>603720</v>
      </c>
      <c r="I684" s="6" t="s">
        <v>1364</v>
      </c>
    </row>
    <row r="685" spans="1:9" ht="15" x14ac:dyDescent="0.25">
      <c r="A685" s="1" t="s">
        <v>1365</v>
      </c>
      <c r="B685" s="2">
        <f>HYPERLINK("https://www.omim.org/entry/605014",605014)</f>
        <v>605014</v>
      </c>
      <c r="C685" s="3">
        <f>HYPERLINK("https://www.omim.org/entry/603552",603552)</f>
        <v>603552</v>
      </c>
      <c r="I685" s="6" t="s">
        <v>1366</v>
      </c>
    </row>
    <row r="686" spans="1:9" ht="15" x14ac:dyDescent="0.25">
      <c r="A686" s="1" t="s">
        <v>1367</v>
      </c>
      <c r="B686" s="2">
        <f>HYPERLINK("https://www.omim.org/entry/601717",601717)</f>
        <v>601717</v>
      </c>
      <c r="C686" s="3">
        <f>HYPERLINK("https://www.omim.org/entry/613101",613101)</f>
        <v>613101</v>
      </c>
      <c r="I686" s="6" t="s">
        <v>1368</v>
      </c>
    </row>
    <row r="687" spans="1:9" ht="15" x14ac:dyDescent="0.25">
      <c r="A687" s="1" t="s">
        <v>1369</v>
      </c>
      <c r="B687" s="2">
        <f>HYPERLINK("https://www.omim.org/entry/609187",609187)</f>
        <v>609187</v>
      </c>
      <c r="C687" s="3">
        <f>HYPERLINK("https://www.omim.org/entry/231690",231690)</f>
        <v>231690</v>
      </c>
      <c r="I687" s="6" t="s">
        <v>1370</v>
      </c>
    </row>
    <row r="688" spans="1:9" ht="15" x14ac:dyDescent="0.25">
      <c r="A688" s="1" t="s">
        <v>1371</v>
      </c>
      <c r="B688" s="2">
        <f>HYPERLINK("https://www.omim.org/entry/615535",615535)</f>
        <v>615535</v>
      </c>
      <c r="C688" s="3">
        <f>HYPERLINK("https://www.omim.org/entry/615540",615540)</f>
        <v>615540</v>
      </c>
      <c r="I688" s="6" t="s">
        <v>1372</v>
      </c>
    </row>
    <row r="689" spans="1:9" ht="15" x14ac:dyDescent="0.25">
      <c r="A689" s="1" t="s">
        <v>1373</v>
      </c>
      <c r="B689" s="2">
        <f>HYPERLINK("https://www.omim.org/entry/600104",600104)</f>
        <v>600104</v>
      </c>
      <c r="C689" s="3">
        <f>HYPERLINK("https://www.omim.org/entry/619461",619461)</f>
        <v>619461</v>
      </c>
      <c r="I689" s="6" t="s">
        <v>1374</v>
      </c>
    </row>
    <row r="690" spans="1:9" ht="15" x14ac:dyDescent="0.25">
      <c r="A690" s="1" t="s">
        <v>1375</v>
      </c>
      <c r="B690" s="2">
        <f>HYPERLINK("https://www.omim.org/entry/613018",613018)</f>
        <v>613018</v>
      </c>
      <c r="C690" s="3">
        <f>HYPERLINK("https://www.omim.org/entry/276600",276600)</f>
        <v>276600</v>
      </c>
      <c r="I690" s="6" t="s">
        <v>1376</v>
      </c>
    </row>
    <row r="691" spans="1:9" ht="15" x14ac:dyDescent="0.25">
      <c r="A691" s="1" t="s">
        <v>1377</v>
      </c>
      <c r="B691" s="2">
        <f>HYPERLINK("https://www.omim.org/entry/613577",613577)</f>
        <v>613577</v>
      </c>
      <c r="C691" s="3">
        <f>HYPERLINK("https://www.omim.org/entry/614617",614617)</f>
        <v>614617</v>
      </c>
      <c r="I691" s="6" t="s">
        <v>1378</v>
      </c>
    </row>
    <row r="692" spans="1:9" ht="15" x14ac:dyDescent="0.25">
      <c r="A692" s="1" t="s">
        <v>1379</v>
      </c>
      <c r="B692" s="2">
        <f>HYPERLINK("https://www.omim.org/entry/300196",300196)</f>
        <v>300196</v>
      </c>
      <c r="C692" s="3">
        <f>HYPERLINK("https://www.omim.org/entry/301033",301033)</f>
        <v>301033</v>
      </c>
      <c r="I692" s="6" t="s">
        <v>1380</v>
      </c>
    </row>
    <row r="693" spans="1:9" ht="15" x14ac:dyDescent="0.25">
      <c r="A693" s="1" t="s">
        <v>1381</v>
      </c>
      <c r="B693" s="2">
        <f>HYPERLINK("https://www.omim.org/entry/602054",602054)</f>
        <v>602054</v>
      </c>
      <c r="C693" s="3">
        <f>HYPERLINK("https://www.omim.org/entry/188400",188400)</f>
        <v>188400</v>
      </c>
      <c r="I693" s="6" t="s">
        <v>1382</v>
      </c>
    </row>
    <row r="694" spans="1:9" ht="15" x14ac:dyDescent="0.25">
      <c r="A694" s="1" t="s">
        <v>1383</v>
      </c>
      <c r="B694" s="2">
        <f>HYPERLINK("https://www.omim.org/entry/604614",604614)</f>
        <v>604614</v>
      </c>
      <c r="C694" s="3">
        <f>HYPERLINK("https://www.omim.org/entry/201400",201400)</f>
        <v>201400</v>
      </c>
      <c r="I694" s="6" t="s">
        <v>1384</v>
      </c>
    </row>
    <row r="695" spans="1:9" ht="15" x14ac:dyDescent="0.25">
      <c r="A695" s="1" t="s">
        <v>1385</v>
      </c>
      <c r="B695" s="2">
        <f>HYPERLINK("https://www.omim.org/entry/147141",147141)</f>
        <v>147141</v>
      </c>
      <c r="C695" s="3">
        <f>HYPERLINK("https://www.omim.org/entry/619824",619824)</f>
        <v>619824</v>
      </c>
      <c r="D695" s="15">
        <f>HYPERLINK("https://www.omim.org/entry/616941",616941)</f>
        <v>616941</v>
      </c>
      <c r="I695" s="6" t="s">
        <v>1386</v>
      </c>
    </row>
    <row r="696" spans="1:9" ht="15" x14ac:dyDescent="0.25">
      <c r="A696" s="1" t="s">
        <v>1387</v>
      </c>
      <c r="B696" s="2">
        <f>HYPERLINK("https://www.omim.org/entry/604592",604592)</f>
        <v>604592</v>
      </c>
      <c r="C696" s="3">
        <f>HYPERLINK("https://www.omim.org/entry/259700",259700)</f>
        <v>259700</v>
      </c>
      <c r="I696" s="6" t="s">
        <v>1388</v>
      </c>
    </row>
    <row r="697" spans="1:9" ht="15" x14ac:dyDescent="0.25">
      <c r="A697" s="1" t="s">
        <v>1389</v>
      </c>
      <c r="B697" s="2">
        <f>HYPERLINK("https://www.omim.org/entry/613441",613441)</f>
        <v>613441</v>
      </c>
      <c r="C697" s="3">
        <f>HYPERLINK("https://www.omim.org/entry/275350",275350)</f>
        <v>275350</v>
      </c>
      <c r="I697" s="6" t="s">
        <v>1390</v>
      </c>
    </row>
    <row r="698" spans="1:9" ht="15" x14ac:dyDescent="0.25">
      <c r="A698" s="1" t="s">
        <v>1391</v>
      </c>
      <c r="B698" s="2">
        <f>HYPERLINK("https://www.omim.org/entry/606847",606847)</f>
        <v>606847</v>
      </c>
      <c r="C698" s="3">
        <f>HYPERLINK("https://www.omim.org/entry/154500",154500)</f>
        <v>154500</v>
      </c>
      <c r="I698" s="6" t="s">
        <v>1392</v>
      </c>
    </row>
    <row r="699" spans="1:9" ht="15" x14ac:dyDescent="0.25">
      <c r="A699" s="1" t="s">
        <v>1393</v>
      </c>
      <c r="B699" s="2">
        <f>HYPERLINK("https://www.omim.org/entry/617242",617242)</f>
        <v>617242</v>
      </c>
      <c r="C699" s="3">
        <f>HYPERLINK("https://www.omim.org/entry/614021",614021)</f>
        <v>614021</v>
      </c>
      <c r="I699" s="6" t="s">
        <v>1394</v>
      </c>
    </row>
    <row r="700" spans="1:9" ht="15" x14ac:dyDescent="0.25">
      <c r="A700" s="1" t="s">
        <v>1395</v>
      </c>
      <c r="B700" s="2">
        <f>HYPERLINK("https://www.omim.org/entry/602574",602574)</f>
        <v>602574</v>
      </c>
      <c r="C700" s="3">
        <f>HYPERLINK("https://www.omim.org/entry/601543",601543)</f>
        <v>601543</v>
      </c>
      <c r="D700" s="15">
        <f>HYPERLINK("https://www.omim.org/entry/603629",603629)</f>
        <v>603629</v>
      </c>
      <c r="I700" s="6" t="s">
        <v>1396</v>
      </c>
    </row>
    <row r="701" spans="1:9" ht="15" x14ac:dyDescent="0.25">
      <c r="A701" s="1" t="s">
        <v>1397</v>
      </c>
      <c r="B701" s="2">
        <f>HYPERLINK("https://www.omim.org/entry/602322",602322)</f>
        <v>602322</v>
      </c>
      <c r="C701" s="3">
        <f>HYPERLINK("https://www.omim.org/entry/127550",127550)</f>
        <v>127550</v>
      </c>
      <c r="I701" s="16" t="s">
        <v>1495</v>
      </c>
    </row>
    <row r="702" spans="1:9" ht="15" x14ac:dyDescent="0.25">
      <c r="A702" s="1" t="s">
        <v>1398</v>
      </c>
      <c r="B702" s="2">
        <f>HYPERLINK("https://www.omim.org/entry/190000",190000)</f>
        <v>190000</v>
      </c>
      <c r="C702" s="3">
        <f>HYPERLINK("https://www.omim.org/entry/209300",209300)</f>
        <v>209300</v>
      </c>
      <c r="I702" s="6" t="s">
        <v>1399</v>
      </c>
    </row>
    <row r="703" spans="1:9" ht="15" x14ac:dyDescent="0.25">
      <c r="A703" s="1" t="s">
        <v>1400</v>
      </c>
      <c r="B703" s="2">
        <f>HYPERLINK("https://www.omim.org/entry/188450",188450)</f>
        <v>188450</v>
      </c>
      <c r="C703" s="3">
        <f>HYPERLINK("https://www.omim.org/entry/274700",274700)</f>
        <v>274700</v>
      </c>
      <c r="I703" s="6" t="s">
        <v>1401</v>
      </c>
    </row>
    <row r="704" spans="1:9" ht="15" x14ac:dyDescent="0.25">
      <c r="A704" s="1" t="s">
        <v>1402</v>
      </c>
      <c r="B704" s="2">
        <f>HYPERLINK("https://www.omim.org/entry/191290",191290)</f>
        <v>191290</v>
      </c>
      <c r="C704" s="3">
        <f>HYPERLINK("https://www.omim.org/entry/605407",605407)</f>
        <v>605407</v>
      </c>
      <c r="I704" s="6" t="s">
        <v>1403</v>
      </c>
    </row>
    <row r="705" spans="1:9" ht="15" x14ac:dyDescent="0.25">
      <c r="A705" s="1" t="s">
        <v>1404</v>
      </c>
      <c r="B705" s="2">
        <f>HYPERLINK("https://www.omim.org/entry/190120",190120)</f>
        <v>190120</v>
      </c>
      <c r="C705" s="3">
        <f>HYPERLINK("https://www.omim.org/entry/614450",614450)</f>
        <v>614450</v>
      </c>
      <c r="I705" s="6" t="s">
        <v>494</v>
      </c>
    </row>
    <row r="706" spans="1:9" ht="15" x14ac:dyDescent="0.25">
      <c r="A706" s="1" t="s">
        <v>1405</v>
      </c>
      <c r="B706" s="2">
        <f>HYPERLINK("https://www.omim.org/entry/190160",190160)</f>
        <v>190160</v>
      </c>
      <c r="C706" s="3">
        <f>HYPERLINK("https://www.omim.org/entry/274300",274300)</f>
        <v>274300</v>
      </c>
      <c r="D706" s="15">
        <f>HYPERLINK("https://www.omim.org/entry/188570",188570)</f>
        <v>188570</v>
      </c>
      <c r="E706" s="15">
        <f>HYPERLINK("https://www.omim.org/entry/145650",145650)</f>
        <v>145650</v>
      </c>
      <c r="I706" s="6" t="s">
        <v>1406</v>
      </c>
    </row>
    <row r="707" spans="1:9" ht="15" x14ac:dyDescent="0.25">
      <c r="A707" s="1" t="s">
        <v>1407</v>
      </c>
      <c r="B707" s="2">
        <f>HYPERLINK("https://www.omim.org/entry/604319",604319)</f>
        <v>604319</v>
      </c>
      <c r="C707" s="3">
        <f>HYPERLINK("https://www.omim.org/entry/613990",613990)</f>
        <v>613990</v>
      </c>
      <c r="I707" s="16" t="s">
        <v>1496</v>
      </c>
    </row>
    <row r="708" spans="1:9" ht="15" x14ac:dyDescent="0.25">
      <c r="A708" s="1" t="s">
        <v>1408</v>
      </c>
      <c r="B708" s="2">
        <f>HYPERLINK("https://www.omim.org/entry/607237",607237)</f>
        <v>607237</v>
      </c>
      <c r="C708" s="3">
        <f>HYPERLINK("https://www.omim.org/entry/600971",600971)</f>
        <v>600971</v>
      </c>
      <c r="I708" s="6" t="s">
        <v>1409</v>
      </c>
    </row>
    <row r="709" spans="1:9" ht="15" x14ac:dyDescent="0.25">
      <c r="A709" s="1" t="s">
        <v>1410</v>
      </c>
      <c r="B709" s="2">
        <f>HYPERLINK("https://www.omim.org/entry/605511",605511)</f>
        <v>605511</v>
      </c>
      <c r="C709" s="3">
        <f>HYPERLINK("https://www.omim.org/entry/601072",601072)</f>
        <v>601072</v>
      </c>
      <c r="I709" s="6" t="s">
        <v>1411</v>
      </c>
    </row>
    <row r="710" spans="1:9" ht="15" x14ac:dyDescent="0.25">
      <c r="A710" s="1" t="s">
        <v>1412</v>
      </c>
      <c r="B710" s="2">
        <f>HYPERLINK("https://www.omim.org/entry/603499",603499)</f>
        <v>603499</v>
      </c>
      <c r="C710" s="3">
        <f>HYPERLINK("https://www.omim.org/entry/612301",612301)</f>
        <v>612301</v>
      </c>
      <c r="I710" s="6" t="s">
        <v>1413</v>
      </c>
    </row>
    <row r="711" spans="1:9" ht="15" x14ac:dyDescent="0.25">
      <c r="A711" s="1" t="s">
        <v>1414</v>
      </c>
      <c r="B711" s="2">
        <f>HYPERLINK("https://www.omim.org/entry/191040",191040)</f>
        <v>191040</v>
      </c>
      <c r="C711" s="3">
        <f>HYPERLINK("https://www.omim.org/entry/611879",611879)</f>
        <v>611879</v>
      </c>
      <c r="D711" s="15">
        <f>HYPERLINK("https://www.omim.org/entry/613243",613243)</f>
        <v>613243</v>
      </c>
      <c r="I711" s="6" t="s">
        <v>1415</v>
      </c>
    </row>
    <row r="712" spans="1:9" ht="15" x14ac:dyDescent="0.25">
      <c r="A712" s="1" t="s">
        <v>1416</v>
      </c>
      <c r="B712" s="2">
        <f>HYPERLINK("https://www.omim.org/entry/191045",191045)</f>
        <v>191045</v>
      </c>
      <c r="C712" s="3">
        <f>HYPERLINK("https://www.omim.org/entry/601494",601494)</f>
        <v>601494</v>
      </c>
      <c r="I712" s="6" t="s">
        <v>1417</v>
      </c>
    </row>
    <row r="713" spans="1:9" ht="15" x14ac:dyDescent="0.25">
      <c r="A713" s="1" t="s">
        <v>1418</v>
      </c>
      <c r="B713" s="2">
        <f>HYPERLINK("https://www.omim.org/entry/606370",606370)</f>
        <v>606370</v>
      </c>
      <c r="C713" s="3">
        <f>HYPERLINK("https://www.omim.org/entry/614458",614458)</f>
        <v>614458</v>
      </c>
      <c r="I713" s="6" t="s">
        <v>1419</v>
      </c>
    </row>
    <row r="714" spans="1:9" ht="15" x14ac:dyDescent="0.25">
      <c r="A714" s="1" t="s">
        <v>1420</v>
      </c>
      <c r="B714" s="2">
        <f>HYPERLINK("https://www.omim.org/entry/606765",606765)</f>
        <v>606765</v>
      </c>
      <c r="C714" s="3">
        <f>HYPERLINK("https://www.omim.org/entry/274500",274500)</f>
        <v>274500</v>
      </c>
      <c r="I714" s="6" t="s">
        <v>1421</v>
      </c>
    </row>
    <row r="715" spans="1:9" ht="15" x14ac:dyDescent="0.25">
      <c r="A715" s="1" t="s">
        <v>1422</v>
      </c>
      <c r="B715" s="2">
        <f>HYPERLINK("https://www.omim.org/entry/607998",607998)</f>
        <v>607998</v>
      </c>
      <c r="C715" s="3">
        <f>HYPERLINK("https://www.omim.org/entry/204500",204500)</f>
        <v>204500</v>
      </c>
      <c r="I715" s="6" t="s">
        <v>1423</v>
      </c>
    </row>
    <row r="716" spans="1:9" ht="15" x14ac:dyDescent="0.25">
      <c r="A716" s="1" t="s">
        <v>1424</v>
      </c>
      <c r="B716" s="2">
        <f>HYPERLINK("https://www.omim.org/entry/613354",613354)</f>
        <v>613354</v>
      </c>
      <c r="C716" s="3">
        <f>HYPERLINK("https://www.omim.org/entry/613307",613307)</f>
        <v>613307</v>
      </c>
      <c r="I716" s="6" t="s">
        <v>1425</v>
      </c>
    </row>
    <row r="717" spans="1:9" ht="15" x14ac:dyDescent="0.25">
      <c r="A717" s="1" t="s">
        <v>1426</v>
      </c>
      <c r="B717" s="2">
        <f>HYPERLINK("https://www.omim.org/entry/603283",603283)</f>
        <v>603283</v>
      </c>
      <c r="C717" s="3">
        <f>HYPERLINK("https://www.omim.org/entry/615441",615441)</f>
        <v>615441</v>
      </c>
      <c r="I717" s="6" t="s">
        <v>1427</v>
      </c>
    </row>
    <row r="718" spans="1:9" ht="15" x14ac:dyDescent="0.25">
      <c r="A718" s="1" t="s">
        <v>1428</v>
      </c>
      <c r="B718" s="2">
        <f>HYPERLINK("https://www.omim.org/entry/188545",188545)</f>
        <v>188545</v>
      </c>
      <c r="C718" s="3">
        <f>HYPERLINK("https://www.omim.org/entry/618573",618573)</f>
        <v>618573</v>
      </c>
      <c r="I718" s="6" t="s">
        <v>1429</v>
      </c>
    </row>
    <row r="719" spans="1:9" ht="15" x14ac:dyDescent="0.25">
      <c r="A719" s="1" t="s">
        <v>1430</v>
      </c>
      <c r="B719" s="2">
        <f>HYPERLINK("https://www.omim.org/entry/609761",609761)</f>
        <v>609761</v>
      </c>
      <c r="C719" s="3">
        <f>HYPERLINK("https://www.omim.org/entry/609823",609823)</f>
        <v>609823</v>
      </c>
      <c r="I719" s="6" t="s">
        <v>1431</v>
      </c>
    </row>
    <row r="720" spans="1:9" ht="15" x14ac:dyDescent="0.25">
      <c r="A720" s="1" t="s">
        <v>1432</v>
      </c>
      <c r="B720" s="2">
        <f>HYPERLINK("https://www.omim.org/entry/610230",610230)</f>
        <v>610230</v>
      </c>
      <c r="C720" s="3">
        <f>HYPERLINK("https://www.omim.org/entry/613070",613070)</f>
        <v>613070</v>
      </c>
      <c r="I720" s="6" t="s">
        <v>1433</v>
      </c>
    </row>
    <row r="721" spans="1:9" ht="15" x14ac:dyDescent="0.25">
      <c r="A721" s="1" t="s">
        <v>1434</v>
      </c>
      <c r="B721" s="2">
        <f>HYPERLINK("https://www.omim.org/entry/607009",607009)</f>
        <v>607009</v>
      </c>
      <c r="C721" s="3">
        <f>HYPERLINK("https://www.omim.org/entry/602014",602014)</f>
        <v>602014</v>
      </c>
      <c r="I721" s="6" t="s">
        <v>1435</v>
      </c>
    </row>
    <row r="722" spans="1:9" ht="15" x14ac:dyDescent="0.25">
      <c r="A722" s="1" t="s">
        <v>1436</v>
      </c>
      <c r="B722" s="2">
        <f>HYPERLINK("https://www.omim.org/entry/165060",165060)</f>
        <v>165060</v>
      </c>
      <c r="C722" s="3">
        <f>HYPERLINK("https://www.omim.org/entry/620198",620198)</f>
        <v>620198</v>
      </c>
      <c r="I722" s="6" t="s">
        <v>1437</v>
      </c>
    </row>
    <row r="723" spans="1:9" ht="15" x14ac:dyDescent="0.25">
      <c r="A723" s="1" t="s">
        <v>1438</v>
      </c>
      <c r="B723" s="2">
        <f>HYPERLINK("https://www.omim.org/entry/605284",605284)</f>
        <v>605284</v>
      </c>
      <c r="C723" s="3">
        <f>HYPERLINK("https://www.omim.org/entry/191100",191100)</f>
        <v>191100</v>
      </c>
      <c r="I723" s="6" t="s">
        <v>1439</v>
      </c>
    </row>
    <row r="724" spans="1:9" ht="15" x14ac:dyDescent="0.25">
      <c r="A724" s="1" t="s">
        <v>1440</v>
      </c>
      <c r="B724" s="2">
        <f>HYPERLINK("https://www.omim.org/entry/191092",191092)</f>
        <v>191092</v>
      </c>
      <c r="C724" s="3">
        <f>HYPERLINK("https://www.omim.org/entry/613254",613254)</f>
        <v>613254</v>
      </c>
      <c r="I724" s="6" t="s">
        <v>1441</v>
      </c>
    </row>
    <row r="725" spans="1:9" ht="15" x14ac:dyDescent="0.25">
      <c r="A725" s="1" t="s">
        <v>1442</v>
      </c>
      <c r="B725" s="2">
        <f>HYPERLINK("https://www.omim.org/entry/188540",188540)</f>
        <v>188540</v>
      </c>
      <c r="C725" s="3">
        <f>HYPERLINK("https://www.omim.org/entry/275100",275100)</f>
        <v>275100</v>
      </c>
      <c r="I725" s="6" t="s">
        <v>1443</v>
      </c>
    </row>
    <row r="726" spans="1:9" ht="15" x14ac:dyDescent="0.25">
      <c r="A726" s="1" t="s">
        <v>1444</v>
      </c>
      <c r="B726" s="2">
        <f>HYPERLINK("https://www.omim.org/entry/603372",603372)</f>
        <v>603372</v>
      </c>
      <c r="C726" s="3">
        <f>HYPERLINK("https://www.omim.org/entry/275200",275200)</f>
        <v>275200</v>
      </c>
      <c r="I726" s="6" t="s">
        <v>1445</v>
      </c>
    </row>
    <row r="727" spans="1:9" ht="15" x14ac:dyDescent="0.25">
      <c r="A727" s="1" t="s">
        <v>1446</v>
      </c>
      <c r="B727" s="2">
        <f>HYPERLINK("https://www.omim.org/entry/612920",612920)</f>
        <v>612920</v>
      </c>
      <c r="C727" s="3">
        <f>HYPERLINK("https://www.omim.org/entry/614861",614861)</f>
        <v>614861</v>
      </c>
      <c r="I727" s="6" t="s">
        <v>1447</v>
      </c>
    </row>
    <row r="728" spans="1:9" ht="15" x14ac:dyDescent="0.25">
      <c r="A728" s="1" t="s">
        <v>1448</v>
      </c>
      <c r="B728" s="2">
        <f>HYPERLINK("https://www.omim.org/entry/609332",609332)</f>
        <v>609332</v>
      </c>
      <c r="C728" s="3">
        <f>HYPERLINK("https://www.omim.org/entry/243150",243150)</f>
        <v>243150</v>
      </c>
      <c r="I728" s="6" t="s">
        <v>1449</v>
      </c>
    </row>
    <row r="729" spans="1:9" ht="15" x14ac:dyDescent="0.25">
      <c r="A729" s="1" t="s">
        <v>1450</v>
      </c>
      <c r="B729" s="2">
        <f>HYPERLINK("https://www.omim.org/entry/600415",600415)</f>
        <v>600415</v>
      </c>
      <c r="C729" s="3">
        <f>HYPERLINK("https://www.omim.org/entry/277460",277460)</f>
        <v>277460</v>
      </c>
      <c r="I729" s="6" t="s">
        <v>1451</v>
      </c>
    </row>
    <row r="730" spans="1:9" ht="15" x14ac:dyDescent="0.25">
      <c r="A730" s="1" t="s">
        <v>1452</v>
      </c>
      <c r="B730" s="2">
        <f>HYPERLINK("https://www.omim.org/entry/610538",610538)</f>
        <v>610538</v>
      </c>
      <c r="C730" s="3">
        <f>HYPERLINK("https://www.omim.org/entry/616435",616435)</f>
        <v>616435</v>
      </c>
      <c r="I730" s="6" t="s">
        <v>1453</v>
      </c>
    </row>
    <row r="731" spans="1:9" ht="15" x14ac:dyDescent="0.25">
      <c r="A731" s="1" t="s">
        <v>1454</v>
      </c>
      <c r="B731" s="2">
        <f>HYPERLINK("https://www.omim.org/entry/191740",191740)</f>
        <v>191740</v>
      </c>
      <c r="C731" s="3">
        <f>HYPERLINK("https://www.omim.org/entry/218800",218800)</f>
        <v>218800</v>
      </c>
      <c r="D731" s="15">
        <f>HYPERLINK("https://www.omim.org/entry/606785",606785)</f>
        <v>606785</v>
      </c>
      <c r="I731" s="6" t="s">
        <v>1455</v>
      </c>
    </row>
    <row r="732" spans="1:9" ht="15" x14ac:dyDescent="0.25">
      <c r="A732" s="1" t="s">
        <v>1456</v>
      </c>
      <c r="B732" s="2">
        <f>HYPERLINK("https://www.omim.org/entry/613891",613891)</f>
        <v>613891</v>
      </c>
      <c r="C732" s="3">
        <f>HYPERLINK("https://www.omim.org/entry/258900",258900)</f>
        <v>258900</v>
      </c>
      <c r="I732" s="6" t="s">
        <v>1457</v>
      </c>
    </row>
    <row r="733" spans="1:9" ht="15" x14ac:dyDescent="0.25">
      <c r="A733" s="1" t="s">
        <v>1458</v>
      </c>
      <c r="B733" s="2">
        <f>HYPERLINK("https://www.omim.org/entry/608897",608897)</f>
        <v>608897</v>
      </c>
      <c r="C733" s="3">
        <f>HYPERLINK("https://www.omim.org/entry/608898",608898)</f>
        <v>608898</v>
      </c>
      <c r="I733" s="6" t="s">
        <v>1459</v>
      </c>
    </row>
    <row r="734" spans="1:9" ht="15" x14ac:dyDescent="0.25">
      <c r="A734" s="1" t="s">
        <v>1460</v>
      </c>
      <c r="B734" s="2">
        <f>HYPERLINK("https://www.omim.org/entry/191525",191525)</f>
        <v>191525</v>
      </c>
      <c r="C734" s="3">
        <f>HYPERLINK("https://www.omim.org/entry/608106",608106)</f>
        <v>608106</v>
      </c>
      <c r="I734" s="6" t="s">
        <v>1461</v>
      </c>
    </row>
    <row r="735" spans="1:9" ht="15" x14ac:dyDescent="0.25">
      <c r="A735" s="1" t="s">
        <v>1462</v>
      </c>
      <c r="B735" s="2">
        <f>HYPERLINK("https://www.omim.org/entry/613521",613521)</f>
        <v>613521</v>
      </c>
      <c r="C735" s="3">
        <f>HYPERLINK("https://www.omim.org/entry/176100",176100)</f>
        <v>176100</v>
      </c>
      <c r="I735" s="6" t="s">
        <v>1463</v>
      </c>
    </row>
    <row r="736" spans="1:9" ht="15" x14ac:dyDescent="0.25">
      <c r="A736" s="1" t="s">
        <v>1464</v>
      </c>
      <c r="B736" s="2">
        <f>HYPERLINK("https://www.omim.org/entry/606938",606938)</f>
        <v>606938</v>
      </c>
      <c r="C736" s="3">
        <f>HYPERLINK("https://www.omim.org/entry/263700",263700)</f>
        <v>263700</v>
      </c>
      <c r="I736" s="6" t="s">
        <v>1465</v>
      </c>
    </row>
    <row r="737" spans="1:9" ht="15" x14ac:dyDescent="0.25">
      <c r="A737" s="1" t="s">
        <v>1466</v>
      </c>
      <c r="B737" s="2">
        <f>HYPERLINK("https://www.omim.org/entry/605242",605242)</f>
        <v>605242</v>
      </c>
      <c r="C737" s="3">
        <f>HYPERLINK("https://www.omim.org/entry/276904",276904)</f>
        <v>276904</v>
      </c>
      <c r="D737" s="15">
        <f>HYPERLINK("https://www.omim.org/entry/602092",602092)</f>
        <v>602092</v>
      </c>
      <c r="I737" s="6" t="s">
        <v>1467</v>
      </c>
    </row>
    <row r="738" spans="1:9" ht="15" x14ac:dyDescent="0.25">
      <c r="A738" s="1" t="s">
        <v>1468</v>
      </c>
      <c r="B738" s="2">
        <f>HYPERLINK("https://www.omim.org/entry/607696",607696)</f>
        <v>607696</v>
      </c>
      <c r="C738" s="3">
        <f>HYPERLINK("https://www.omim.org/entry/606943",606943)</f>
        <v>606943</v>
      </c>
      <c r="I738" s="6" t="s">
        <v>1469</v>
      </c>
    </row>
    <row r="739" spans="1:9" ht="15" x14ac:dyDescent="0.25">
      <c r="A739" s="1" t="s">
        <v>1470</v>
      </c>
      <c r="B739" s="2">
        <f>HYPERLINK("https://www.omim.org/entry/608400",608400)</f>
        <v>608400</v>
      </c>
      <c r="C739" s="3">
        <f>HYPERLINK("https://www.omim.org/entry/276901",276901)</f>
        <v>276901</v>
      </c>
      <c r="I739" s="6" t="s">
        <v>1471</v>
      </c>
    </row>
    <row r="740" spans="1:9" ht="15" x14ac:dyDescent="0.25">
      <c r="A740" s="1" t="s">
        <v>1472</v>
      </c>
      <c r="B740" s="2">
        <f>HYPERLINK("https://www.omim.org/entry/185880",185880)</f>
        <v>185880</v>
      </c>
      <c r="C740" s="3">
        <f>HYPERLINK("https://www.omim.org/entry/618323",618323)</f>
        <v>618323</v>
      </c>
      <c r="I740" s="6" t="s">
        <v>1473</v>
      </c>
    </row>
    <row r="741" spans="1:9" ht="15" x14ac:dyDescent="0.25">
      <c r="A741" s="1" t="s">
        <v>1474</v>
      </c>
      <c r="B741" s="2">
        <f>HYPERLINK("https://www.omim.org/entry/601769",601769)</f>
        <v>601769</v>
      </c>
      <c r="C741" s="3">
        <f>HYPERLINK("https://www.omim.org/entry/277440",277440)</f>
        <v>277440</v>
      </c>
      <c r="I741" s="6" t="s">
        <v>1475</v>
      </c>
    </row>
    <row r="742" spans="1:9" ht="15" x14ac:dyDescent="0.25">
      <c r="A742" s="1" t="s">
        <v>1476</v>
      </c>
      <c r="B742" s="2">
        <f>HYPERLINK("https://www.omim.org/entry/613160",613160)</f>
        <v>613160</v>
      </c>
      <c r="C742" s="3">
        <f>HYPERLINK("https://www.omim.org/entry/277480",277480)</f>
        <v>277480</v>
      </c>
      <c r="I742" s="6" t="s">
        <v>1477</v>
      </c>
    </row>
    <row r="743" spans="1:9" ht="15" x14ac:dyDescent="0.25">
      <c r="A743" s="1" t="s">
        <v>1478</v>
      </c>
      <c r="B743" s="2">
        <f>HYPERLINK("https://www.omim.org/entry/300392",300392)</f>
        <v>300392</v>
      </c>
      <c r="C743" s="3">
        <f>HYPERLINK("https://www.omim.org/entry/301000",301000)</f>
        <v>301000</v>
      </c>
      <c r="D743" s="15">
        <f>HYPERLINK("https://www.omim.org/entry/300299",300299)</f>
        <v>300299</v>
      </c>
      <c r="I743" s="6" t="s">
        <v>1479</v>
      </c>
    </row>
    <row r="744" spans="1:9" ht="15" x14ac:dyDescent="0.25">
      <c r="A744" s="1" t="s">
        <v>1480</v>
      </c>
      <c r="B744" s="2">
        <f>HYPERLINK("https://www.omim.org/entry/606201",606201)</f>
        <v>606201</v>
      </c>
      <c r="C744" s="3">
        <f>HYPERLINK("https://www.omim.org/entry/222300",222300)</f>
        <v>222300</v>
      </c>
      <c r="I744" s="6" t="s">
        <v>1481</v>
      </c>
    </row>
    <row r="745" spans="1:9" ht="15" x14ac:dyDescent="0.25">
      <c r="A745" s="1" t="s">
        <v>1482</v>
      </c>
      <c r="B745" s="2">
        <f>HYPERLINK("https://www.omim.org/entry/607928",607928)</f>
        <v>607928</v>
      </c>
      <c r="C745" s="3">
        <f>HYPERLINK("https://www.omim.org/entry/611383",611383)</f>
        <v>611383</v>
      </c>
      <c r="I745" s="6" t="s">
        <v>1483</v>
      </c>
    </row>
    <row r="746" spans="1:9" ht="15" x14ac:dyDescent="0.25">
      <c r="A746" s="1" t="s">
        <v>1484</v>
      </c>
      <c r="B746" s="2">
        <f>HYPERLINK("https://www.omim.org/entry/300079",300079)</f>
        <v>300079</v>
      </c>
      <c r="C746" s="3">
        <f>HYPERLINK("https://www.omim.org/entry/300635",300635)</f>
        <v>300635</v>
      </c>
      <c r="I746" s="6" t="s">
        <v>1485</v>
      </c>
    </row>
    <row r="747" spans="1:9" ht="15" x14ac:dyDescent="0.25">
      <c r="A747" s="1" t="s">
        <v>1486</v>
      </c>
      <c r="B747" s="2">
        <f>HYPERLINK("https://www.omim.org/entry/176947",176947)</f>
        <v>176947</v>
      </c>
      <c r="C747" s="3">
        <f>HYPERLINK("https://www.omim.org/entry/269840",269840)</f>
        <v>269840</v>
      </c>
      <c r="I747" s="6" t="s">
        <v>1487</v>
      </c>
    </row>
    <row r="748" spans="1:9" ht="15" x14ac:dyDescent="0.25">
      <c r="A748" s="1" t="s">
        <v>1488</v>
      </c>
      <c r="B748" s="2">
        <f>HYPERLINK("https://www.omim.org/entry/614064",614064)</f>
        <v>614064</v>
      </c>
      <c r="C748" s="3">
        <f>HYPERLINK("https://www.omim.org/entry/614069",614069)</f>
        <v>614069</v>
      </c>
      <c r="I748" s="6" t="s">
        <v>1489</v>
      </c>
    </row>
    <row r="749" spans="1:9" ht="15" x14ac:dyDescent="0.25">
      <c r="A749" s="1" t="s">
        <v>1490</v>
      </c>
      <c r="B749" s="2">
        <f>HYPERLINK("https://www.omim.org/entry/607070",607070)</f>
        <v>607070</v>
      </c>
      <c r="C749" s="3">
        <f>HYPERLINK("https://www.omim.org/entry/615444",615444)</f>
        <v>615444</v>
      </c>
      <c r="I749" s="6" t="s">
        <v>1491</v>
      </c>
    </row>
    <row r="750" spans="1:9" ht="15" x14ac:dyDescent="0.25">
      <c r="B750" s="27"/>
      <c r="C750" s="27"/>
      <c r="D750" s="27"/>
      <c r="E750" s="27"/>
      <c r="F750" s="27"/>
      <c r="G750" s="27"/>
      <c r="H750" s="27"/>
    </row>
    <row r="751" spans="1:9" ht="15" x14ac:dyDescent="0.25">
      <c r="B751" s="27"/>
      <c r="C751" s="27"/>
      <c r="D751" s="27"/>
      <c r="E751" s="27"/>
      <c r="F751" s="27"/>
      <c r="G751" s="27"/>
      <c r="H751" s="27"/>
    </row>
    <row r="752" spans="1:9" ht="15" x14ac:dyDescent="0.25">
      <c r="B752" s="27"/>
      <c r="C752" s="27"/>
      <c r="D752" s="27"/>
      <c r="E752" s="27"/>
      <c r="F752" s="27"/>
      <c r="G752" s="27"/>
      <c r="H752" s="27"/>
    </row>
    <row r="753" spans="2:8" ht="15" x14ac:dyDescent="0.25">
      <c r="B753" s="27"/>
      <c r="C753" s="27"/>
      <c r="D753" s="27"/>
      <c r="E753" s="27"/>
      <c r="F753" s="27"/>
      <c r="G753" s="27"/>
      <c r="H753" s="27"/>
    </row>
    <row r="754" spans="2:8" ht="15" x14ac:dyDescent="0.25">
      <c r="B754" s="27"/>
      <c r="C754" s="27"/>
      <c r="D754" s="27"/>
      <c r="E754" s="27"/>
      <c r="F754" s="27"/>
      <c r="G754" s="27"/>
      <c r="H754" s="27"/>
    </row>
    <row r="755" spans="2:8" ht="15" x14ac:dyDescent="0.25">
      <c r="B755" s="27"/>
      <c r="C755" s="27"/>
      <c r="D755" s="27"/>
      <c r="E755" s="27"/>
      <c r="F755" s="27"/>
      <c r="G755" s="27"/>
      <c r="H755" s="27"/>
    </row>
    <row r="756" spans="2:8" ht="15" x14ac:dyDescent="0.25">
      <c r="B756" s="27"/>
      <c r="C756" s="27"/>
      <c r="D756" s="27"/>
      <c r="E756" s="27"/>
      <c r="F756" s="27"/>
      <c r="G756" s="27"/>
      <c r="H756" s="27"/>
    </row>
    <row r="757" spans="2:8" ht="15" x14ac:dyDescent="0.25">
      <c r="B757" s="27"/>
      <c r="C757" s="27"/>
      <c r="D757" s="27"/>
      <c r="E757" s="27"/>
      <c r="F757" s="27"/>
      <c r="G757" s="27"/>
      <c r="H757" s="27"/>
    </row>
    <row r="758" spans="2:8" ht="15" x14ac:dyDescent="0.25">
      <c r="B758" s="27"/>
      <c r="C758" s="27"/>
      <c r="D758" s="27"/>
      <c r="E758" s="27"/>
      <c r="F758" s="27"/>
      <c r="G758" s="27"/>
      <c r="H758" s="27"/>
    </row>
    <row r="759" spans="2:8" ht="15" x14ac:dyDescent="0.25">
      <c r="B759" s="27"/>
      <c r="C759" s="27"/>
      <c r="D759" s="27"/>
      <c r="E759" s="27"/>
      <c r="F759" s="27"/>
      <c r="G759" s="27"/>
      <c r="H759" s="27"/>
    </row>
    <row r="760" spans="2:8" ht="15" x14ac:dyDescent="0.25">
      <c r="B760" s="27"/>
      <c r="C760" s="27"/>
      <c r="D760" s="27"/>
      <c r="E760" s="27"/>
      <c r="F760" s="27"/>
      <c r="G760" s="27"/>
      <c r="H760" s="27"/>
    </row>
    <row r="761" spans="2:8" ht="15" x14ac:dyDescent="0.25">
      <c r="B761" s="27"/>
      <c r="C761" s="27"/>
      <c r="D761" s="27"/>
      <c r="E761" s="27"/>
      <c r="F761" s="27"/>
      <c r="G761" s="27"/>
      <c r="H761" s="27"/>
    </row>
    <row r="762" spans="2:8" ht="15" x14ac:dyDescent="0.25">
      <c r="B762" s="27"/>
      <c r="C762" s="27"/>
      <c r="D762" s="27"/>
      <c r="E762" s="27"/>
      <c r="F762" s="27"/>
      <c r="G762" s="27"/>
      <c r="H762" s="27"/>
    </row>
    <row r="763" spans="2:8" ht="15" x14ac:dyDescent="0.25">
      <c r="B763" s="27"/>
      <c r="C763" s="27"/>
      <c r="D763" s="27"/>
      <c r="E763" s="27"/>
      <c r="F763" s="27"/>
      <c r="G763" s="27"/>
      <c r="H763" s="27"/>
    </row>
    <row r="764" spans="2:8" ht="15" x14ac:dyDescent="0.25">
      <c r="B764" s="27"/>
      <c r="C764" s="27"/>
      <c r="D764" s="27"/>
      <c r="E764" s="27"/>
      <c r="F764" s="27"/>
      <c r="G764" s="27"/>
      <c r="H764" s="27"/>
    </row>
    <row r="765" spans="2:8" ht="15" x14ac:dyDescent="0.25">
      <c r="B765" s="27"/>
      <c r="C765" s="27"/>
      <c r="D765" s="27"/>
      <c r="E765" s="27"/>
      <c r="F765" s="27"/>
      <c r="G765" s="27"/>
      <c r="H765" s="27"/>
    </row>
    <row r="766" spans="2:8" ht="15" x14ac:dyDescent="0.25">
      <c r="B766" s="27"/>
      <c r="C766" s="27"/>
      <c r="D766" s="27"/>
      <c r="E766" s="27"/>
      <c r="F766" s="27"/>
      <c r="G766" s="27"/>
      <c r="H766" s="27"/>
    </row>
    <row r="767" spans="2:8" ht="15" x14ac:dyDescent="0.25">
      <c r="B767" s="27"/>
      <c r="C767" s="27"/>
      <c r="D767" s="27"/>
      <c r="E767" s="27"/>
      <c r="F767" s="27"/>
      <c r="G767" s="27"/>
      <c r="H767" s="27"/>
    </row>
    <row r="768" spans="2:8" ht="15" x14ac:dyDescent="0.25">
      <c r="B768" s="27"/>
      <c r="C768" s="27"/>
      <c r="D768" s="27"/>
      <c r="E768" s="27"/>
      <c r="F768" s="27"/>
      <c r="G768" s="27"/>
      <c r="H768" s="27"/>
    </row>
    <row r="769" spans="2:8" ht="15" x14ac:dyDescent="0.25">
      <c r="B769" s="27"/>
      <c r="C769" s="27"/>
      <c r="D769" s="27"/>
      <c r="E769" s="27"/>
      <c r="F769" s="27"/>
      <c r="G769" s="27"/>
      <c r="H769" s="27"/>
    </row>
    <row r="770" spans="2:8" ht="15" x14ac:dyDescent="0.25">
      <c r="B770" s="27"/>
      <c r="C770" s="27"/>
      <c r="D770" s="27"/>
      <c r="E770" s="27"/>
      <c r="F770" s="27"/>
      <c r="G770" s="27"/>
      <c r="H770" s="27"/>
    </row>
    <row r="771" spans="2:8" ht="15" x14ac:dyDescent="0.25">
      <c r="B771" s="27"/>
      <c r="C771" s="27"/>
      <c r="D771" s="27"/>
      <c r="E771" s="27"/>
      <c r="F771" s="27"/>
      <c r="G771" s="27"/>
      <c r="H771" s="27"/>
    </row>
    <row r="772" spans="2:8" ht="15" x14ac:dyDescent="0.25">
      <c r="B772" s="27"/>
      <c r="C772" s="27"/>
      <c r="D772" s="27"/>
      <c r="E772" s="27"/>
      <c r="F772" s="27"/>
      <c r="G772" s="27"/>
      <c r="H772" s="27"/>
    </row>
    <row r="773" spans="2:8" ht="15" x14ac:dyDescent="0.25">
      <c r="B773" s="27"/>
      <c r="C773" s="27"/>
      <c r="D773" s="27"/>
      <c r="E773" s="27"/>
      <c r="F773" s="27"/>
      <c r="G773" s="27"/>
      <c r="H773" s="27"/>
    </row>
    <row r="774" spans="2:8" ht="15" x14ac:dyDescent="0.25">
      <c r="B774" s="27"/>
      <c r="C774" s="27"/>
      <c r="D774" s="27"/>
      <c r="E774" s="27"/>
      <c r="F774" s="27"/>
      <c r="G774" s="27"/>
      <c r="H774" s="27"/>
    </row>
    <row r="775" spans="2:8" ht="15" x14ac:dyDescent="0.25">
      <c r="B775" s="27"/>
      <c r="C775" s="27"/>
      <c r="D775" s="27"/>
      <c r="E775" s="27"/>
      <c r="F775" s="27"/>
      <c r="G775" s="27"/>
      <c r="H775" s="27"/>
    </row>
    <row r="776" spans="2:8" ht="15" x14ac:dyDescent="0.25">
      <c r="B776" s="27"/>
      <c r="C776" s="27"/>
      <c r="D776" s="27"/>
      <c r="E776" s="27"/>
      <c r="F776" s="27"/>
      <c r="G776" s="27"/>
      <c r="H776" s="27"/>
    </row>
    <row r="777" spans="2:8" ht="15" x14ac:dyDescent="0.25">
      <c r="B777" s="27"/>
      <c r="C777" s="27"/>
      <c r="D777" s="27"/>
      <c r="E777" s="27"/>
      <c r="F777" s="27"/>
      <c r="G777" s="27"/>
      <c r="H777" s="27"/>
    </row>
    <row r="778" spans="2:8" ht="15" x14ac:dyDescent="0.25">
      <c r="B778" s="27"/>
      <c r="C778" s="27"/>
      <c r="D778" s="27"/>
      <c r="E778" s="27"/>
      <c r="F778" s="27"/>
      <c r="G778" s="27"/>
      <c r="H778" s="27"/>
    </row>
    <row r="779" spans="2:8" ht="15" x14ac:dyDescent="0.25">
      <c r="B779" s="27"/>
      <c r="C779" s="27"/>
      <c r="D779" s="27"/>
      <c r="E779" s="27"/>
      <c r="F779" s="27"/>
      <c r="G779" s="27"/>
      <c r="H779" s="27"/>
    </row>
    <row r="780" spans="2:8" ht="15" x14ac:dyDescent="0.25">
      <c r="B780" s="27"/>
      <c r="C780" s="27"/>
      <c r="D780" s="27"/>
      <c r="E780" s="27"/>
      <c r="F780" s="27"/>
      <c r="G780" s="27"/>
      <c r="H780" s="27"/>
    </row>
    <row r="781" spans="2:8" ht="15" x14ac:dyDescent="0.25">
      <c r="B781" s="27"/>
      <c r="C781" s="27"/>
      <c r="D781" s="27"/>
      <c r="E781" s="27"/>
      <c r="F781" s="27"/>
      <c r="G781" s="27"/>
      <c r="H781" s="27"/>
    </row>
    <row r="782" spans="2:8" ht="15" x14ac:dyDescent="0.25">
      <c r="B782" s="27"/>
      <c r="C782" s="27"/>
      <c r="D782" s="27"/>
      <c r="E782" s="27"/>
      <c r="F782" s="27"/>
      <c r="G782" s="27"/>
      <c r="H782" s="27"/>
    </row>
    <row r="783" spans="2:8" ht="15" x14ac:dyDescent="0.25">
      <c r="B783" s="27"/>
      <c r="C783" s="27"/>
      <c r="D783" s="27"/>
      <c r="E783" s="27"/>
      <c r="F783" s="27"/>
      <c r="G783" s="27"/>
      <c r="H783" s="27"/>
    </row>
    <row r="784" spans="2:8" ht="15" x14ac:dyDescent="0.25">
      <c r="B784" s="27"/>
      <c r="C784" s="27"/>
      <c r="D784" s="27"/>
      <c r="E784" s="27"/>
      <c r="F784" s="27"/>
      <c r="G784" s="27"/>
      <c r="H784" s="27"/>
    </row>
    <row r="785" spans="2:8" ht="15" x14ac:dyDescent="0.25">
      <c r="B785" s="27"/>
      <c r="C785" s="27"/>
      <c r="D785" s="27"/>
      <c r="E785" s="27"/>
      <c r="F785" s="27"/>
      <c r="G785" s="27"/>
      <c r="H785" s="27"/>
    </row>
    <row r="786" spans="2:8" ht="15" x14ac:dyDescent="0.25">
      <c r="B786" s="27"/>
      <c r="C786" s="27"/>
      <c r="D786" s="27"/>
      <c r="E786" s="27"/>
      <c r="F786" s="27"/>
      <c r="G786" s="27"/>
      <c r="H786" s="27"/>
    </row>
    <row r="787" spans="2:8" ht="15" x14ac:dyDescent="0.25">
      <c r="B787" s="27"/>
      <c r="C787" s="27"/>
      <c r="D787" s="27"/>
      <c r="E787" s="27"/>
      <c r="F787" s="27"/>
      <c r="G787" s="27"/>
      <c r="H787" s="27"/>
    </row>
    <row r="788" spans="2:8" ht="15" x14ac:dyDescent="0.25">
      <c r="B788" s="27"/>
      <c r="C788" s="27"/>
      <c r="D788" s="27"/>
      <c r="E788" s="27"/>
      <c r="F788" s="27"/>
      <c r="G788" s="27"/>
      <c r="H788" s="27"/>
    </row>
    <row r="789" spans="2:8" ht="15" x14ac:dyDescent="0.25">
      <c r="B789" s="27"/>
      <c r="C789" s="27"/>
      <c r="D789" s="27"/>
      <c r="E789" s="27"/>
      <c r="F789" s="27"/>
      <c r="G789" s="27"/>
      <c r="H789" s="27"/>
    </row>
    <row r="790" spans="2:8" ht="15" x14ac:dyDescent="0.25">
      <c r="B790" s="27"/>
      <c r="C790" s="27"/>
      <c r="D790" s="27"/>
      <c r="E790" s="27"/>
      <c r="F790" s="27"/>
      <c r="G790" s="27"/>
      <c r="H790" s="27"/>
    </row>
    <row r="791" spans="2:8" ht="15" x14ac:dyDescent="0.25">
      <c r="B791" s="27"/>
      <c r="C791" s="27"/>
      <c r="D791" s="27"/>
      <c r="E791" s="27"/>
      <c r="F791" s="27"/>
      <c r="G791" s="27"/>
      <c r="H791" s="27"/>
    </row>
    <row r="792" spans="2:8" ht="15" x14ac:dyDescent="0.25">
      <c r="B792" s="27"/>
      <c r="C792" s="27"/>
      <c r="D792" s="27"/>
      <c r="E792" s="27"/>
      <c r="F792" s="27"/>
      <c r="G792" s="27"/>
      <c r="H792" s="27"/>
    </row>
    <row r="793" spans="2:8" ht="15" x14ac:dyDescent="0.25">
      <c r="B793" s="27"/>
      <c r="C793" s="27"/>
      <c r="D793" s="27"/>
      <c r="E793" s="27"/>
      <c r="F793" s="27"/>
      <c r="G793" s="27"/>
      <c r="H793" s="27"/>
    </row>
    <row r="794" spans="2:8" ht="15" x14ac:dyDescent="0.25">
      <c r="B794" s="27"/>
      <c r="C794" s="27"/>
      <c r="D794" s="27"/>
      <c r="E794" s="27"/>
      <c r="F794" s="27"/>
      <c r="G794" s="27"/>
      <c r="H794" s="27"/>
    </row>
    <row r="795" spans="2:8" ht="15" x14ac:dyDescent="0.25">
      <c r="B795" s="27"/>
      <c r="C795" s="27"/>
      <c r="D795" s="27"/>
      <c r="E795" s="27"/>
      <c r="F795" s="27"/>
      <c r="G795" s="27"/>
      <c r="H795" s="27"/>
    </row>
    <row r="796" spans="2:8" ht="15" x14ac:dyDescent="0.25">
      <c r="B796" s="27"/>
      <c r="C796" s="27"/>
      <c r="D796" s="27"/>
      <c r="E796" s="27"/>
      <c r="F796" s="27"/>
      <c r="G796" s="27"/>
      <c r="H796" s="27"/>
    </row>
    <row r="797" spans="2:8" ht="15" x14ac:dyDescent="0.25">
      <c r="B797" s="27"/>
      <c r="C797" s="27"/>
      <c r="D797" s="27"/>
      <c r="E797" s="27"/>
      <c r="F797" s="27"/>
      <c r="G797" s="27"/>
      <c r="H797" s="27"/>
    </row>
    <row r="798" spans="2:8" ht="15" x14ac:dyDescent="0.25">
      <c r="B798" s="27"/>
      <c r="C798" s="27"/>
      <c r="D798" s="27"/>
      <c r="E798" s="27"/>
      <c r="F798" s="27"/>
      <c r="G798" s="27"/>
      <c r="H798" s="27"/>
    </row>
    <row r="799" spans="2:8" ht="15" x14ac:dyDescent="0.25">
      <c r="B799" s="27"/>
      <c r="C799" s="27"/>
      <c r="D799" s="27"/>
      <c r="E799" s="27"/>
      <c r="F799" s="27"/>
      <c r="G799" s="27"/>
      <c r="H799" s="27"/>
    </row>
    <row r="800" spans="2:8" ht="15" x14ac:dyDescent="0.25">
      <c r="B800" s="27"/>
      <c r="C800" s="27"/>
      <c r="D800" s="27"/>
      <c r="E800" s="27"/>
      <c r="F800" s="27"/>
      <c r="G800" s="27"/>
      <c r="H800" s="27"/>
    </row>
    <row r="801" spans="2:8" ht="15" x14ac:dyDescent="0.25">
      <c r="B801" s="27"/>
      <c r="C801" s="27"/>
      <c r="D801" s="27"/>
      <c r="E801" s="27"/>
      <c r="F801" s="27"/>
      <c r="G801" s="27"/>
      <c r="H801" s="27"/>
    </row>
    <row r="802" spans="2:8" ht="15" x14ac:dyDescent="0.25">
      <c r="B802" s="27"/>
      <c r="C802" s="27"/>
      <c r="D802" s="27"/>
      <c r="E802" s="27"/>
      <c r="F802" s="27"/>
      <c r="G802" s="27"/>
      <c r="H802" s="27"/>
    </row>
    <row r="803" spans="2:8" ht="15" x14ac:dyDescent="0.25">
      <c r="B803" s="27"/>
      <c r="C803" s="27"/>
      <c r="D803" s="27"/>
      <c r="E803" s="27"/>
      <c r="F803" s="27"/>
      <c r="G803" s="27"/>
      <c r="H803" s="27"/>
    </row>
    <row r="804" spans="2:8" ht="15" x14ac:dyDescent="0.25">
      <c r="B804" s="27"/>
      <c r="C804" s="27"/>
      <c r="D804" s="27"/>
      <c r="E804" s="27"/>
      <c r="F804" s="27"/>
      <c r="G804" s="27"/>
      <c r="H804" s="27"/>
    </row>
    <row r="805" spans="2:8" ht="15" x14ac:dyDescent="0.25">
      <c r="B805" s="27"/>
      <c r="C805" s="27"/>
      <c r="D805" s="27"/>
      <c r="E805" s="27"/>
      <c r="F805" s="27"/>
      <c r="G805" s="27"/>
      <c r="H805" s="27"/>
    </row>
    <row r="806" spans="2:8" ht="15" x14ac:dyDescent="0.25">
      <c r="B806" s="27"/>
      <c r="C806" s="27"/>
      <c r="D806" s="27"/>
      <c r="E806" s="27"/>
      <c r="F806" s="27"/>
      <c r="G806" s="27"/>
      <c r="H806" s="27"/>
    </row>
    <row r="807" spans="2:8" ht="15" x14ac:dyDescent="0.25">
      <c r="B807" s="27"/>
      <c r="C807" s="27"/>
      <c r="D807" s="27"/>
      <c r="E807" s="27"/>
      <c r="F807" s="27"/>
      <c r="G807" s="27"/>
      <c r="H807" s="27"/>
    </row>
    <row r="808" spans="2:8" ht="15" x14ac:dyDescent="0.25">
      <c r="B808" s="27"/>
      <c r="C808" s="27"/>
      <c r="D808" s="27"/>
      <c r="E808" s="27"/>
      <c r="F808" s="27"/>
      <c r="G808" s="27"/>
      <c r="H808" s="27"/>
    </row>
    <row r="809" spans="2:8" ht="15" x14ac:dyDescent="0.25">
      <c r="B809" s="27"/>
      <c r="C809" s="27"/>
      <c r="D809" s="27"/>
      <c r="E809" s="27"/>
      <c r="F809" s="27"/>
      <c r="G809" s="27"/>
      <c r="H809" s="27"/>
    </row>
    <row r="810" spans="2:8" ht="15" x14ac:dyDescent="0.25">
      <c r="B810" s="27"/>
      <c r="C810" s="27"/>
      <c r="D810" s="27"/>
      <c r="E810" s="27"/>
      <c r="F810" s="27"/>
      <c r="G810" s="27"/>
      <c r="H810" s="27"/>
    </row>
    <row r="811" spans="2:8" ht="15" x14ac:dyDescent="0.25">
      <c r="B811" s="27"/>
      <c r="C811" s="27"/>
      <c r="D811" s="27"/>
      <c r="E811" s="27"/>
      <c r="F811" s="27"/>
      <c r="G811" s="27"/>
      <c r="H811" s="27"/>
    </row>
    <row r="812" spans="2:8" ht="15" x14ac:dyDescent="0.25">
      <c r="B812" s="27"/>
      <c r="C812" s="27"/>
      <c r="D812" s="27"/>
      <c r="E812" s="27"/>
      <c r="F812" s="27"/>
      <c r="G812" s="27"/>
      <c r="H812" s="27"/>
    </row>
    <row r="813" spans="2:8" ht="15" x14ac:dyDescent="0.25">
      <c r="B813" s="27"/>
      <c r="C813" s="27"/>
      <c r="D813" s="27"/>
      <c r="E813" s="27"/>
      <c r="F813" s="27"/>
      <c r="G813" s="27"/>
      <c r="H813" s="27"/>
    </row>
    <row r="814" spans="2:8" ht="15" x14ac:dyDescent="0.25">
      <c r="B814" s="27"/>
      <c r="C814" s="27"/>
      <c r="D814" s="27"/>
      <c r="E814" s="27"/>
      <c r="F814" s="27"/>
      <c r="G814" s="27"/>
      <c r="H814" s="27"/>
    </row>
    <row r="815" spans="2:8" ht="15" x14ac:dyDescent="0.25">
      <c r="B815" s="27"/>
      <c r="C815" s="27"/>
      <c r="D815" s="27"/>
      <c r="E815" s="27"/>
      <c r="F815" s="27"/>
      <c r="G815" s="27"/>
      <c r="H815" s="27"/>
    </row>
    <row r="816" spans="2:8" ht="15" x14ac:dyDescent="0.25">
      <c r="B816" s="27"/>
      <c r="C816" s="27"/>
      <c r="D816" s="27"/>
      <c r="E816" s="27"/>
      <c r="F816" s="27"/>
      <c r="G816" s="27"/>
      <c r="H816" s="27"/>
    </row>
    <row r="817" spans="2:8" ht="15" x14ac:dyDescent="0.25">
      <c r="B817" s="27"/>
      <c r="C817" s="27"/>
      <c r="D817" s="27"/>
      <c r="E817" s="27"/>
      <c r="F817" s="27"/>
      <c r="G817" s="27"/>
      <c r="H817" s="27"/>
    </row>
    <row r="818" spans="2:8" ht="15" x14ac:dyDescent="0.25">
      <c r="B818" s="27"/>
      <c r="C818" s="27"/>
      <c r="D818" s="27"/>
      <c r="E818" s="27"/>
      <c r="F818" s="27"/>
      <c r="G818" s="27"/>
      <c r="H818" s="27"/>
    </row>
    <row r="819" spans="2:8" ht="15" x14ac:dyDescent="0.25">
      <c r="B819" s="27"/>
      <c r="C819" s="27"/>
      <c r="D819" s="27"/>
      <c r="E819" s="27"/>
      <c r="F819" s="27"/>
      <c r="G819" s="27"/>
      <c r="H819" s="27"/>
    </row>
    <row r="820" spans="2:8" ht="15" x14ac:dyDescent="0.25">
      <c r="B820" s="27"/>
      <c r="C820" s="27"/>
      <c r="D820" s="27"/>
      <c r="E820" s="27"/>
      <c r="F820" s="27"/>
      <c r="G820" s="27"/>
      <c r="H820" s="27"/>
    </row>
    <row r="821" spans="2:8" ht="15" x14ac:dyDescent="0.25">
      <c r="B821" s="27"/>
      <c r="C821" s="27"/>
      <c r="D821" s="27"/>
      <c r="E821" s="27"/>
      <c r="F821" s="27"/>
      <c r="G821" s="27"/>
      <c r="H821" s="27"/>
    </row>
    <row r="822" spans="2:8" ht="15" x14ac:dyDescent="0.25">
      <c r="B822" s="27"/>
      <c r="C822" s="27"/>
      <c r="D822" s="27"/>
      <c r="E822" s="27"/>
      <c r="F822" s="27"/>
      <c r="G822" s="27"/>
      <c r="H822" s="27"/>
    </row>
    <row r="823" spans="2:8" ht="15" x14ac:dyDescent="0.25">
      <c r="B823" s="27"/>
      <c r="C823" s="27"/>
      <c r="D823" s="27"/>
      <c r="E823" s="27"/>
      <c r="F823" s="27"/>
      <c r="G823" s="27"/>
      <c r="H823" s="27"/>
    </row>
    <row r="824" spans="2:8" ht="15" x14ac:dyDescent="0.25">
      <c r="B824" s="27"/>
      <c r="C824" s="27"/>
      <c r="D824" s="27"/>
      <c r="E824" s="27"/>
      <c r="F824" s="27"/>
      <c r="G824" s="27"/>
      <c r="H824" s="27"/>
    </row>
    <row r="825" spans="2:8" ht="15" x14ac:dyDescent="0.25">
      <c r="B825" s="27"/>
      <c r="C825" s="27"/>
      <c r="D825" s="27"/>
      <c r="E825" s="27"/>
      <c r="F825" s="27"/>
      <c r="G825" s="27"/>
      <c r="H825" s="27"/>
    </row>
    <row r="826" spans="2:8" ht="15" x14ac:dyDescent="0.25">
      <c r="B826" s="27"/>
      <c r="C826" s="27"/>
      <c r="D826" s="27"/>
      <c r="E826" s="27"/>
      <c r="F826" s="27"/>
      <c r="G826" s="27"/>
      <c r="H826" s="27"/>
    </row>
    <row r="827" spans="2:8" ht="15" x14ac:dyDescent="0.25">
      <c r="B827" s="27"/>
      <c r="C827" s="27"/>
      <c r="D827" s="27"/>
      <c r="E827" s="27"/>
      <c r="F827" s="27"/>
      <c r="G827" s="27"/>
      <c r="H827" s="27"/>
    </row>
    <row r="828" spans="2:8" ht="15" x14ac:dyDescent="0.25">
      <c r="B828" s="27"/>
      <c r="C828" s="27"/>
      <c r="D828" s="27"/>
      <c r="E828" s="27"/>
      <c r="F828" s="27"/>
      <c r="G828" s="27"/>
      <c r="H828" s="27"/>
    </row>
    <row r="829" spans="2:8" ht="15" x14ac:dyDescent="0.25">
      <c r="B829" s="27"/>
      <c r="C829" s="27"/>
      <c r="D829" s="27"/>
      <c r="E829" s="27"/>
      <c r="F829" s="27"/>
      <c r="G829" s="27"/>
      <c r="H829" s="27"/>
    </row>
    <row r="830" spans="2:8" ht="15" x14ac:dyDescent="0.25">
      <c r="B830" s="27"/>
      <c r="C830" s="27"/>
      <c r="D830" s="27"/>
      <c r="E830" s="27"/>
      <c r="F830" s="27"/>
      <c r="G830" s="27"/>
      <c r="H830" s="27"/>
    </row>
    <row r="831" spans="2:8" ht="15" x14ac:dyDescent="0.25">
      <c r="B831" s="27"/>
      <c r="C831" s="27"/>
      <c r="D831" s="27"/>
      <c r="E831" s="27"/>
      <c r="F831" s="27"/>
      <c r="G831" s="27"/>
      <c r="H831" s="27"/>
    </row>
    <row r="832" spans="2:8" ht="15" x14ac:dyDescent="0.25">
      <c r="B832" s="27"/>
      <c r="C832" s="27"/>
      <c r="D832" s="27"/>
      <c r="E832" s="27"/>
      <c r="F832" s="27"/>
      <c r="G832" s="27"/>
      <c r="H832" s="27"/>
    </row>
    <row r="833" spans="2:8" ht="15" x14ac:dyDescent="0.25">
      <c r="B833" s="27"/>
      <c r="C833" s="27"/>
      <c r="D833" s="27"/>
      <c r="E833" s="27"/>
      <c r="F833" s="27"/>
      <c r="G833" s="27"/>
      <c r="H833" s="27"/>
    </row>
    <row r="834" spans="2:8" ht="15" x14ac:dyDescent="0.25">
      <c r="B834" s="27"/>
      <c r="C834" s="27"/>
      <c r="D834" s="27"/>
      <c r="E834" s="27"/>
      <c r="F834" s="27"/>
      <c r="G834" s="27"/>
      <c r="H834" s="27"/>
    </row>
    <row r="835" spans="2:8" ht="15" x14ac:dyDescent="0.25">
      <c r="B835" s="27"/>
      <c r="C835" s="27"/>
      <c r="D835" s="27"/>
      <c r="E835" s="27"/>
      <c r="F835" s="27"/>
      <c r="G835" s="27"/>
      <c r="H835" s="27"/>
    </row>
    <row r="836" spans="2:8" ht="15" x14ac:dyDescent="0.25">
      <c r="B836" s="27"/>
      <c r="C836" s="27"/>
      <c r="D836" s="27"/>
      <c r="E836" s="27"/>
      <c r="F836" s="27"/>
      <c r="G836" s="27"/>
      <c r="H836" s="27"/>
    </row>
    <row r="837" spans="2:8" ht="15" x14ac:dyDescent="0.25">
      <c r="B837" s="27"/>
      <c r="C837" s="27"/>
      <c r="D837" s="27"/>
      <c r="E837" s="27"/>
      <c r="F837" s="27"/>
      <c r="G837" s="27"/>
      <c r="H837" s="27"/>
    </row>
    <row r="838" spans="2:8" ht="15" x14ac:dyDescent="0.25">
      <c r="B838" s="27"/>
      <c r="C838" s="27"/>
      <c r="D838" s="27"/>
      <c r="E838" s="27"/>
      <c r="F838" s="27"/>
      <c r="G838" s="27"/>
      <c r="H838" s="27"/>
    </row>
    <row r="839" spans="2:8" ht="15" x14ac:dyDescent="0.25">
      <c r="B839" s="27"/>
      <c r="C839" s="27"/>
      <c r="D839" s="27"/>
      <c r="E839" s="27"/>
      <c r="F839" s="27"/>
      <c r="G839" s="27"/>
      <c r="H839" s="27"/>
    </row>
    <row r="840" spans="2:8" ht="15" x14ac:dyDescent="0.25">
      <c r="B840" s="27"/>
      <c r="C840" s="27"/>
      <c r="D840" s="27"/>
      <c r="E840" s="27"/>
      <c r="F840" s="27"/>
      <c r="G840" s="27"/>
      <c r="H840" s="27"/>
    </row>
    <row r="841" spans="2:8" ht="15" x14ac:dyDescent="0.25">
      <c r="B841" s="27"/>
      <c r="C841" s="27"/>
      <c r="D841" s="27"/>
      <c r="E841" s="27"/>
      <c r="F841" s="27"/>
      <c r="G841" s="27"/>
      <c r="H841" s="27"/>
    </row>
    <row r="842" spans="2:8" ht="15" x14ac:dyDescent="0.25">
      <c r="B842" s="27"/>
      <c r="C842" s="27"/>
      <c r="D842" s="27"/>
      <c r="E842" s="27"/>
      <c r="F842" s="27"/>
      <c r="G842" s="27"/>
      <c r="H842" s="27"/>
    </row>
    <row r="843" spans="2:8" ht="15" x14ac:dyDescent="0.25">
      <c r="B843" s="27"/>
      <c r="C843" s="27"/>
      <c r="D843" s="27"/>
      <c r="E843" s="27"/>
      <c r="F843" s="27"/>
      <c r="G843" s="27"/>
      <c r="H843" s="27"/>
    </row>
    <row r="844" spans="2:8" ht="15" x14ac:dyDescent="0.25">
      <c r="B844" s="27"/>
      <c r="C844" s="27"/>
      <c r="D844" s="27"/>
      <c r="E844" s="27"/>
      <c r="F844" s="27"/>
      <c r="G844" s="27"/>
      <c r="H844" s="27"/>
    </row>
    <row r="845" spans="2:8" ht="15" x14ac:dyDescent="0.25">
      <c r="B845" s="27"/>
      <c r="C845" s="27"/>
      <c r="D845" s="27"/>
      <c r="E845" s="27"/>
      <c r="F845" s="27"/>
      <c r="G845" s="27"/>
      <c r="H845" s="27"/>
    </row>
    <row r="846" spans="2:8" ht="15" x14ac:dyDescent="0.25">
      <c r="B846" s="27"/>
      <c r="C846" s="27"/>
      <c r="D846" s="27"/>
      <c r="E846" s="27"/>
      <c r="F846" s="27"/>
      <c r="G846" s="27"/>
      <c r="H846" s="27"/>
    </row>
    <row r="847" spans="2:8" ht="15" x14ac:dyDescent="0.25">
      <c r="B847" s="27"/>
      <c r="C847" s="27"/>
      <c r="D847" s="27"/>
      <c r="E847" s="27"/>
      <c r="F847" s="27"/>
      <c r="G847" s="27"/>
      <c r="H847" s="27"/>
    </row>
    <row r="848" spans="2:8" ht="15" x14ac:dyDescent="0.25">
      <c r="B848" s="27"/>
      <c r="C848" s="27"/>
      <c r="D848" s="27"/>
      <c r="E848" s="27"/>
      <c r="F848" s="27"/>
      <c r="G848" s="27"/>
      <c r="H848" s="27"/>
    </row>
    <row r="849" spans="2:8" ht="15" x14ac:dyDescent="0.25">
      <c r="B849" s="27"/>
      <c r="C849" s="27"/>
      <c r="D849" s="27"/>
      <c r="E849" s="27"/>
      <c r="F849" s="27"/>
      <c r="G849" s="27"/>
      <c r="H849" s="27"/>
    </row>
    <row r="850" spans="2:8" ht="15" x14ac:dyDescent="0.25">
      <c r="B850" s="27"/>
      <c r="C850" s="27"/>
      <c r="D850" s="27"/>
      <c r="E850" s="27"/>
      <c r="F850" s="27"/>
      <c r="G850" s="27"/>
      <c r="H850" s="27"/>
    </row>
    <row r="851" spans="2:8" ht="15" x14ac:dyDescent="0.25">
      <c r="B851" s="27"/>
      <c r="C851" s="27"/>
      <c r="D851" s="27"/>
      <c r="E851" s="27"/>
      <c r="F851" s="27"/>
      <c r="G851" s="27"/>
      <c r="H851" s="27"/>
    </row>
    <row r="852" spans="2:8" ht="15" x14ac:dyDescent="0.25">
      <c r="B852" s="27"/>
      <c r="C852" s="27"/>
      <c r="D852" s="27"/>
      <c r="E852" s="27"/>
      <c r="F852" s="27"/>
      <c r="G852" s="27"/>
      <c r="H852" s="27"/>
    </row>
    <row r="853" spans="2:8" ht="15" x14ac:dyDescent="0.25">
      <c r="B853" s="27"/>
      <c r="C853" s="27"/>
      <c r="D853" s="27"/>
      <c r="E853" s="27"/>
      <c r="F853" s="27"/>
      <c r="G853" s="27"/>
      <c r="H853" s="27"/>
    </row>
    <row r="854" spans="2:8" ht="15" x14ac:dyDescent="0.25">
      <c r="B854" s="27"/>
      <c r="C854" s="27"/>
      <c r="D854" s="27"/>
      <c r="E854" s="27"/>
      <c r="F854" s="27"/>
      <c r="G854" s="27"/>
      <c r="H854" s="27"/>
    </row>
    <row r="855" spans="2:8" ht="15" x14ac:dyDescent="0.25">
      <c r="B855" s="27"/>
      <c r="C855" s="27"/>
      <c r="D855" s="27"/>
      <c r="E855" s="27"/>
      <c r="F855" s="27"/>
      <c r="G855" s="27"/>
      <c r="H855" s="27"/>
    </row>
    <row r="856" spans="2:8" ht="15" x14ac:dyDescent="0.25">
      <c r="B856" s="27"/>
      <c r="C856" s="27"/>
      <c r="D856" s="27"/>
      <c r="E856" s="27"/>
      <c r="F856" s="27"/>
      <c r="G856" s="27"/>
      <c r="H856" s="27"/>
    </row>
    <row r="857" spans="2:8" ht="15" x14ac:dyDescent="0.25">
      <c r="B857" s="27"/>
      <c r="C857" s="27"/>
      <c r="D857" s="27"/>
      <c r="E857" s="27"/>
      <c r="F857" s="27"/>
      <c r="G857" s="27"/>
      <c r="H857" s="27"/>
    </row>
    <row r="858" spans="2:8" ht="15" x14ac:dyDescent="0.25">
      <c r="B858" s="27"/>
      <c r="C858" s="27"/>
      <c r="D858" s="27"/>
      <c r="E858" s="27"/>
      <c r="F858" s="27"/>
      <c r="G858" s="27"/>
      <c r="H858" s="27"/>
    </row>
    <row r="859" spans="2:8" ht="15" x14ac:dyDescent="0.25">
      <c r="B859" s="27"/>
      <c r="C859" s="27"/>
      <c r="D859" s="27"/>
      <c r="E859" s="27"/>
      <c r="F859" s="27"/>
      <c r="G859" s="27"/>
      <c r="H859" s="27"/>
    </row>
    <row r="860" spans="2:8" ht="15" x14ac:dyDescent="0.25">
      <c r="B860" s="27"/>
      <c r="C860" s="27"/>
      <c r="D860" s="27"/>
      <c r="E860" s="27"/>
      <c r="F860" s="27"/>
      <c r="G860" s="27"/>
      <c r="H860" s="27"/>
    </row>
    <row r="861" spans="2:8" ht="15" x14ac:dyDescent="0.25">
      <c r="B861" s="27"/>
      <c r="C861" s="27"/>
      <c r="D861" s="27"/>
      <c r="E861" s="27"/>
      <c r="F861" s="27"/>
      <c r="G861" s="27"/>
      <c r="H861" s="27"/>
    </row>
    <row r="862" spans="2:8" ht="15" x14ac:dyDescent="0.25">
      <c r="B862" s="27"/>
      <c r="C862" s="27"/>
      <c r="D862" s="27"/>
      <c r="E862" s="27"/>
      <c r="F862" s="27"/>
      <c r="G862" s="27"/>
      <c r="H862" s="27"/>
    </row>
    <row r="863" spans="2:8" ht="15" x14ac:dyDescent="0.25">
      <c r="B863" s="27"/>
      <c r="C863" s="27"/>
      <c r="D863" s="27"/>
      <c r="E863" s="27"/>
      <c r="F863" s="27"/>
      <c r="G863" s="27"/>
      <c r="H863" s="27"/>
    </row>
    <row r="864" spans="2:8" ht="15" x14ac:dyDescent="0.25">
      <c r="B864" s="27"/>
      <c r="C864" s="27"/>
      <c r="D864" s="27"/>
      <c r="E864" s="27"/>
      <c r="F864" s="27"/>
      <c r="G864" s="27"/>
      <c r="H864" s="27"/>
    </row>
    <row r="865" spans="2:8" ht="15" x14ac:dyDescent="0.25">
      <c r="B865" s="27"/>
      <c r="C865" s="27"/>
      <c r="D865" s="27"/>
      <c r="E865" s="27"/>
      <c r="F865" s="27"/>
      <c r="G865" s="27"/>
      <c r="H865" s="27"/>
    </row>
    <row r="866" spans="2:8" ht="15" x14ac:dyDescent="0.25">
      <c r="B866" s="27"/>
      <c r="C866" s="27"/>
      <c r="D866" s="27"/>
      <c r="E866" s="27"/>
      <c r="F866" s="27"/>
      <c r="G866" s="27"/>
      <c r="H866" s="27"/>
    </row>
    <row r="867" spans="2:8" ht="15" x14ac:dyDescent="0.25">
      <c r="B867" s="27"/>
      <c r="C867" s="27"/>
      <c r="D867" s="27"/>
      <c r="E867" s="27"/>
      <c r="F867" s="27"/>
      <c r="G867" s="27"/>
      <c r="H867" s="27"/>
    </row>
    <row r="868" spans="2:8" ht="15" x14ac:dyDescent="0.25">
      <c r="B868" s="27"/>
      <c r="C868" s="27"/>
      <c r="D868" s="27"/>
      <c r="E868" s="27"/>
      <c r="F868" s="27"/>
      <c r="G868" s="27"/>
      <c r="H868" s="27"/>
    </row>
    <row r="869" spans="2:8" ht="15" x14ac:dyDescent="0.25">
      <c r="B869" s="27"/>
      <c r="C869" s="27"/>
      <c r="D869" s="27"/>
      <c r="E869" s="27"/>
      <c r="F869" s="27"/>
      <c r="G869" s="27"/>
      <c r="H869" s="27"/>
    </row>
    <row r="870" spans="2:8" ht="15" x14ac:dyDescent="0.25">
      <c r="B870" s="27"/>
      <c r="C870" s="27"/>
      <c r="D870" s="27"/>
      <c r="E870" s="27"/>
      <c r="F870" s="27"/>
      <c r="G870" s="27"/>
      <c r="H870" s="27"/>
    </row>
    <row r="871" spans="2:8" ht="15" x14ac:dyDescent="0.25">
      <c r="B871" s="27"/>
      <c r="C871" s="27"/>
      <c r="D871" s="27"/>
      <c r="E871" s="27"/>
      <c r="F871" s="27"/>
      <c r="G871" s="27"/>
      <c r="H871" s="27"/>
    </row>
    <row r="872" spans="2:8" ht="15" x14ac:dyDescent="0.25">
      <c r="B872" s="27"/>
      <c r="C872" s="27"/>
      <c r="D872" s="27"/>
      <c r="E872" s="27"/>
      <c r="F872" s="27"/>
      <c r="G872" s="27"/>
      <c r="H872" s="27"/>
    </row>
    <row r="873" spans="2:8" ht="15" x14ac:dyDescent="0.25">
      <c r="B873" s="27"/>
      <c r="C873" s="27"/>
      <c r="D873" s="27"/>
      <c r="E873" s="27"/>
      <c r="F873" s="27"/>
      <c r="G873" s="27"/>
      <c r="H873" s="27"/>
    </row>
    <row r="874" spans="2:8" ht="15" x14ac:dyDescent="0.25">
      <c r="B874" s="27"/>
      <c r="C874" s="27"/>
      <c r="D874" s="27"/>
      <c r="E874" s="27"/>
      <c r="F874" s="27"/>
      <c r="G874" s="27"/>
      <c r="H874" s="27"/>
    </row>
    <row r="875" spans="2:8" ht="15" x14ac:dyDescent="0.25">
      <c r="B875" s="27"/>
      <c r="C875" s="27"/>
      <c r="D875" s="27"/>
      <c r="E875" s="27"/>
      <c r="F875" s="27"/>
      <c r="G875" s="27"/>
      <c r="H875" s="27"/>
    </row>
    <row r="876" spans="2:8" ht="15" x14ac:dyDescent="0.25">
      <c r="B876" s="27"/>
      <c r="C876" s="27"/>
      <c r="D876" s="27"/>
      <c r="E876" s="27"/>
      <c r="F876" s="27"/>
      <c r="G876" s="27"/>
      <c r="H876" s="27"/>
    </row>
    <row r="877" spans="2:8" ht="15" x14ac:dyDescent="0.25">
      <c r="B877" s="27"/>
      <c r="C877" s="27"/>
      <c r="D877" s="27"/>
      <c r="E877" s="27"/>
      <c r="F877" s="27"/>
      <c r="G877" s="27"/>
      <c r="H877" s="27"/>
    </row>
    <row r="878" spans="2:8" ht="15" x14ac:dyDescent="0.25">
      <c r="B878" s="27"/>
      <c r="C878" s="27"/>
      <c r="D878" s="27"/>
      <c r="E878" s="27"/>
      <c r="F878" s="27"/>
      <c r="G878" s="27"/>
      <c r="H878" s="27"/>
    </row>
    <row r="879" spans="2:8" ht="15" x14ac:dyDescent="0.25">
      <c r="B879" s="27"/>
      <c r="C879" s="27"/>
      <c r="D879" s="27"/>
      <c r="E879" s="27"/>
      <c r="F879" s="27"/>
      <c r="G879" s="27"/>
      <c r="H879" s="27"/>
    </row>
    <row r="880" spans="2:8" ht="15" x14ac:dyDescent="0.25">
      <c r="B880" s="27"/>
      <c r="C880" s="27"/>
      <c r="D880" s="27"/>
      <c r="E880" s="27"/>
      <c r="F880" s="27"/>
      <c r="G880" s="27"/>
      <c r="H880" s="27"/>
    </row>
    <row r="881" spans="2:8" ht="15" x14ac:dyDescent="0.25">
      <c r="B881" s="27"/>
      <c r="C881" s="27"/>
      <c r="D881" s="27"/>
      <c r="E881" s="27"/>
      <c r="F881" s="27"/>
      <c r="G881" s="27"/>
      <c r="H881" s="27"/>
    </row>
    <row r="882" spans="2:8" ht="15" x14ac:dyDescent="0.25">
      <c r="B882" s="27"/>
      <c r="C882" s="27"/>
      <c r="D882" s="27"/>
      <c r="E882" s="27"/>
      <c r="F882" s="27"/>
      <c r="G882" s="27"/>
      <c r="H882" s="27"/>
    </row>
    <row r="883" spans="2:8" ht="15" x14ac:dyDescent="0.25">
      <c r="B883" s="27"/>
      <c r="C883" s="27"/>
      <c r="D883" s="27"/>
      <c r="E883" s="27"/>
      <c r="F883" s="27"/>
      <c r="G883" s="27"/>
      <c r="H883" s="27"/>
    </row>
    <row r="884" spans="2:8" ht="15" x14ac:dyDescent="0.25">
      <c r="B884" s="27"/>
      <c r="C884" s="27"/>
      <c r="D884" s="27"/>
      <c r="E884" s="27"/>
      <c r="F884" s="27"/>
      <c r="G884" s="27"/>
      <c r="H884" s="27"/>
    </row>
    <row r="885" spans="2:8" ht="15" x14ac:dyDescent="0.25">
      <c r="B885" s="27"/>
      <c r="C885" s="27"/>
      <c r="D885" s="27"/>
      <c r="E885" s="27"/>
      <c r="F885" s="27"/>
      <c r="G885" s="27"/>
      <c r="H885" s="27"/>
    </row>
    <row r="886" spans="2:8" ht="15" x14ac:dyDescent="0.25">
      <c r="B886" s="27"/>
      <c r="C886" s="27"/>
      <c r="D886" s="27"/>
      <c r="E886" s="27"/>
      <c r="F886" s="27"/>
      <c r="G886" s="27"/>
      <c r="H886" s="27"/>
    </row>
    <row r="887" spans="2:8" ht="15" x14ac:dyDescent="0.25">
      <c r="B887" s="27"/>
      <c r="C887" s="27"/>
      <c r="D887" s="27"/>
      <c r="E887" s="27"/>
      <c r="F887" s="27"/>
      <c r="G887" s="27"/>
      <c r="H887" s="27"/>
    </row>
    <row r="888" spans="2:8" ht="15" x14ac:dyDescent="0.25">
      <c r="B888" s="27"/>
      <c r="C888" s="27"/>
      <c r="D888" s="27"/>
      <c r="E888" s="27"/>
      <c r="F888" s="27"/>
      <c r="G888" s="27"/>
      <c r="H888" s="27"/>
    </row>
    <row r="889" spans="2:8" ht="15" x14ac:dyDescent="0.25">
      <c r="B889" s="27"/>
      <c r="C889" s="27"/>
      <c r="D889" s="27"/>
      <c r="E889" s="27"/>
      <c r="F889" s="27"/>
      <c r="G889" s="27"/>
      <c r="H889" s="27"/>
    </row>
    <row r="890" spans="2:8" ht="15" x14ac:dyDescent="0.25">
      <c r="B890" s="27"/>
      <c r="C890" s="27"/>
      <c r="D890" s="27"/>
      <c r="E890" s="27"/>
      <c r="F890" s="27"/>
      <c r="G890" s="27"/>
      <c r="H890" s="27"/>
    </row>
    <row r="891" spans="2:8" ht="15" x14ac:dyDescent="0.25">
      <c r="B891" s="27"/>
      <c r="C891" s="27"/>
      <c r="D891" s="27"/>
      <c r="E891" s="27"/>
      <c r="F891" s="27"/>
      <c r="G891" s="27"/>
      <c r="H891" s="27"/>
    </row>
    <row r="892" spans="2:8" ht="15" x14ac:dyDescent="0.25">
      <c r="B892" s="27"/>
      <c r="C892" s="27"/>
      <c r="D892" s="27"/>
      <c r="E892" s="27"/>
      <c r="F892" s="27"/>
      <c r="G892" s="27"/>
      <c r="H892" s="27"/>
    </row>
    <row r="893" spans="2:8" ht="15" x14ac:dyDescent="0.25">
      <c r="B893" s="27"/>
      <c r="C893" s="27"/>
      <c r="D893" s="27"/>
      <c r="E893" s="27"/>
      <c r="F893" s="27"/>
      <c r="G893" s="27"/>
      <c r="H893" s="27"/>
    </row>
    <row r="894" spans="2:8" ht="15" x14ac:dyDescent="0.25">
      <c r="B894" s="27"/>
      <c r="C894" s="27"/>
      <c r="D894" s="27"/>
      <c r="E894" s="27"/>
      <c r="F894" s="27"/>
      <c r="G894" s="27"/>
      <c r="H894" s="27"/>
    </row>
    <row r="895" spans="2:8" ht="15" x14ac:dyDescent="0.25">
      <c r="B895" s="27"/>
      <c r="C895" s="27"/>
      <c r="D895" s="27"/>
      <c r="E895" s="27"/>
      <c r="F895" s="27"/>
      <c r="G895" s="27"/>
      <c r="H895" s="27"/>
    </row>
    <row r="896" spans="2:8" ht="15" x14ac:dyDescent="0.25">
      <c r="B896" s="27"/>
      <c r="C896" s="27"/>
      <c r="D896" s="27"/>
      <c r="E896" s="27"/>
      <c r="F896" s="27"/>
      <c r="G896" s="27"/>
      <c r="H896" s="27"/>
    </row>
    <row r="897" spans="2:8" ht="15" x14ac:dyDescent="0.25">
      <c r="B897" s="27"/>
      <c r="C897" s="27"/>
      <c r="D897" s="27"/>
      <c r="E897" s="27"/>
      <c r="F897" s="27"/>
      <c r="G897" s="27"/>
      <c r="H897" s="27"/>
    </row>
    <row r="898" spans="2:8" ht="15" x14ac:dyDescent="0.25">
      <c r="B898" s="27"/>
      <c r="C898" s="27"/>
      <c r="D898" s="27"/>
      <c r="E898" s="27"/>
      <c r="F898" s="27"/>
      <c r="G898" s="27"/>
      <c r="H898" s="27"/>
    </row>
    <row r="899" spans="2:8" ht="15" x14ac:dyDescent="0.25">
      <c r="B899" s="27"/>
      <c r="C899" s="27"/>
      <c r="D899" s="27"/>
      <c r="E899" s="27"/>
      <c r="F899" s="27"/>
      <c r="G899" s="27"/>
      <c r="H899" s="27"/>
    </row>
    <row r="900" spans="2:8" ht="15" x14ac:dyDescent="0.25">
      <c r="B900" s="27"/>
      <c r="C900" s="27"/>
      <c r="D900" s="27"/>
      <c r="E900" s="27"/>
      <c r="F900" s="27"/>
      <c r="G900" s="27"/>
      <c r="H900" s="27"/>
    </row>
    <row r="901" spans="2:8" ht="15" x14ac:dyDescent="0.25">
      <c r="B901" s="27"/>
      <c r="C901" s="27"/>
      <c r="D901" s="27"/>
      <c r="E901" s="27"/>
      <c r="F901" s="27"/>
      <c r="G901" s="27"/>
      <c r="H901" s="27"/>
    </row>
    <row r="902" spans="2:8" ht="15" x14ac:dyDescent="0.25">
      <c r="B902" s="27"/>
      <c r="C902" s="27"/>
      <c r="D902" s="27"/>
      <c r="E902" s="27"/>
      <c r="F902" s="27"/>
      <c r="G902" s="27"/>
      <c r="H902" s="27"/>
    </row>
    <row r="903" spans="2:8" ht="15" x14ac:dyDescent="0.25">
      <c r="B903" s="27"/>
      <c r="C903" s="27"/>
      <c r="D903" s="27"/>
      <c r="E903" s="27"/>
      <c r="F903" s="27"/>
      <c r="G903" s="27"/>
      <c r="H903" s="27"/>
    </row>
    <row r="904" spans="2:8" ht="15" x14ac:dyDescent="0.25">
      <c r="B904" s="27"/>
      <c r="C904" s="27"/>
      <c r="D904" s="27"/>
      <c r="E904" s="27"/>
      <c r="F904" s="27"/>
      <c r="G904" s="27"/>
      <c r="H904" s="27"/>
    </row>
    <row r="905" spans="2:8" ht="15" x14ac:dyDescent="0.25">
      <c r="B905" s="27"/>
      <c r="C905" s="27"/>
      <c r="D905" s="27"/>
      <c r="E905" s="27"/>
      <c r="F905" s="27"/>
      <c r="G905" s="27"/>
      <c r="H905" s="27"/>
    </row>
    <row r="906" spans="2:8" ht="15" x14ac:dyDescent="0.25">
      <c r="B906" s="27"/>
      <c r="C906" s="27"/>
      <c r="D906" s="27"/>
      <c r="E906" s="27"/>
      <c r="F906" s="27"/>
      <c r="G906" s="27"/>
      <c r="H906" s="27"/>
    </row>
    <row r="907" spans="2:8" ht="15" x14ac:dyDescent="0.25">
      <c r="B907" s="27"/>
      <c r="C907" s="27"/>
      <c r="D907" s="27"/>
      <c r="E907" s="27"/>
      <c r="F907" s="27"/>
      <c r="G907" s="27"/>
      <c r="H907" s="27"/>
    </row>
    <row r="908" spans="2:8" ht="15" x14ac:dyDescent="0.25">
      <c r="B908" s="27"/>
      <c r="C908" s="27"/>
      <c r="D908" s="27"/>
      <c r="E908" s="27"/>
      <c r="F908" s="27"/>
      <c r="G908" s="27"/>
      <c r="H908" s="27"/>
    </row>
    <row r="909" spans="2:8" ht="15" x14ac:dyDescent="0.25">
      <c r="B909" s="27"/>
      <c r="C909" s="27"/>
      <c r="D909" s="27"/>
      <c r="E909" s="27"/>
      <c r="F909" s="27"/>
      <c r="G909" s="27"/>
      <c r="H909" s="27"/>
    </row>
    <row r="910" spans="2:8" ht="15" x14ac:dyDescent="0.25">
      <c r="B910" s="27"/>
      <c r="C910" s="27"/>
      <c r="D910" s="27"/>
      <c r="E910" s="27"/>
      <c r="F910" s="27"/>
      <c r="G910" s="27"/>
      <c r="H910" s="27"/>
    </row>
    <row r="911" spans="2:8" ht="15" x14ac:dyDescent="0.25">
      <c r="B911" s="27"/>
      <c r="C911" s="27"/>
      <c r="D911" s="27"/>
      <c r="E911" s="27"/>
      <c r="F911" s="27"/>
      <c r="G911" s="27"/>
      <c r="H911" s="27"/>
    </row>
    <row r="912" spans="2:8" ht="15" x14ac:dyDescent="0.25">
      <c r="B912" s="27"/>
      <c r="C912" s="27"/>
      <c r="D912" s="27"/>
      <c r="E912" s="27"/>
      <c r="F912" s="27"/>
      <c r="G912" s="27"/>
      <c r="H912" s="27"/>
    </row>
    <row r="913" spans="2:8" ht="15" x14ac:dyDescent="0.25">
      <c r="B913" s="27"/>
      <c r="C913" s="27"/>
      <c r="D913" s="27"/>
      <c r="E913" s="27"/>
      <c r="F913" s="27"/>
      <c r="G913" s="27"/>
      <c r="H913" s="27"/>
    </row>
    <row r="914" spans="2:8" ht="15" x14ac:dyDescent="0.25">
      <c r="B914" s="27"/>
      <c r="C914" s="27"/>
      <c r="D914" s="27"/>
      <c r="E914" s="27"/>
      <c r="F914" s="27"/>
      <c r="G914" s="27"/>
      <c r="H914" s="27"/>
    </row>
    <row r="915" spans="2:8" ht="15" x14ac:dyDescent="0.25">
      <c r="B915" s="27"/>
      <c r="C915" s="27"/>
      <c r="D915" s="27"/>
      <c r="E915" s="27"/>
      <c r="F915" s="27"/>
      <c r="G915" s="27"/>
      <c r="H915" s="27"/>
    </row>
    <row r="916" spans="2:8" ht="15" x14ac:dyDescent="0.25">
      <c r="B916" s="27"/>
      <c r="C916" s="27"/>
      <c r="D916" s="27"/>
      <c r="E916" s="27"/>
      <c r="F916" s="27"/>
      <c r="G916" s="27"/>
      <c r="H916" s="27"/>
    </row>
    <row r="917" spans="2:8" ht="15" x14ac:dyDescent="0.25">
      <c r="B917" s="27"/>
      <c r="C917" s="27"/>
      <c r="D917" s="27"/>
      <c r="E917" s="27"/>
      <c r="F917" s="27"/>
      <c r="G917" s="27"/>
      <c r="H917" s="27"/>
    </row>
    <row r="918" spans="2:8" ht="15" x14ac:dyDescent="0.25">
      <c r="B918" s="27"/>
      <c r="C918" s="27"/>
      <c r="D918" s="27"/>
      <c r="E918" s="27"/>
      <c r="F918" s="27"/>
      <c r="G918" s="27"/>
      <c r="H918" s="27"/>
    </row>
    <row r="919" spans="2:8" ht="15" x14ac:dyDescent="0.25">
      <c r="B919" s="27"/>
      <c r="C919" s="27"/>
      <c r="D919" s="27"/>
      <c r="E919" s="27"/>
      <c r="F919" s="27"/>
      <c r="G919" s="27"/>
      <c r="H919" s="27"/>
    </row>
    <row r="920" spans="2:8" ht="15" x14ac:dyDescent="0.25">
      <c r="B920" s="27"/>
      <c r="C920" s="27"/>
      <c r="D920" s="27"/>
      <c r="E920" s="27"/>
      <c r="F920" s="27"/>
      <c r="G920" s="27"/>
      <c r="H920" s="27"/>
    </row>
    <row r="921" spans="2:8" ht="15" x14ac:dyDescent="0.25">
      <c r="B921" s="27"/>
      <c r="C921" s="27"/>
      <c r="D921" s="27"/>
      <c r="E921" s="27"/>
      <c r="F921" s="27"/>
      <c r="G921" s="27"/>
      <c r="H921" s="27"/>
    </row>
    <row r="922" spans="2:8" ht="15" x14ac:dyDescent="0.25">
      <c r="B922" s="27"/>
      <c r="C922" s="27"/>
      <c r="D922" s="27"/>
      <c r="E922" s="27"/>
      <c r="F922" s="27"/>
      <c r="G922" s="27"/>
      <c r="H922" s="27"/>
    </row>
    <row r="923" spans="2:8" ht="15" x14ac:dyDescent="0.25">
      <c r="B923" s="27"/>
      <c r="C923" s="27"/>
      <c r="D923" s="27"/>
      <c r="E923" s="27"/>
      <c r="F923" s="27"/>
      <c r="G923" s="27"/>
      <c r="H923" s="27"/>
    </row>
    <row r="924" spans="2:8" ht="15" x14ac:dyDescent="0.25">
      <c r="B924" s="27"/>
      <c r="C924" s="27"/>
      <c r="D924" s="27"/>
      <c r="E924" s="27"/>
      <c r="F924" s="27"/>
      <c r="G924" s="27"/>
      <c r="H924" s="27"/>
    </row>
    <row r="925" spans="2:8" ht="15" x14ac:dyDescent="0.25">
      <c r="B925" s="27"/>
      <c r="C925" s="27"/>
      <c r="D925" s="27"/>
      <c r="E925" s="27"/>
      <c r="F925" s="27"/>
      <c r="G925" s="27"/>
      <c r="H925" s="27"/>
    </row>
    <row r="926" spans="2:8" ht="15" x14ac:dyDescent="0.25">
      <c r="B926" s="27"/>
      <c r="C926" s="27"/>
      <c r="D926" s="27"/>
      <c r="E926" s="27"/>
      <c r="F926" s="27"/>
      <c r="G926" s="27"/>
      <c r="H926" s="27"/>
    </row>
    <row r="927" spans="2:8" ht="15" x14ac:dyDescent="0.25">
      <c r="B927" s="27"/>
      <c r="C927" s="27"/>
      <c r="D927" s="27"/>
      <c r="E927" s="27"/>
      <c r="F927" s="27"/>
      <c r="G927" s="27"/>
      <c r="H927" s="27"/>
    </row>
    <row r="928" spans="2:8" ht="15" x14ac:dyDescent="0.25">
      <c r="B928" s="27"/>
      <c r="C928" s="27"/>
      <c r="D928" s="27"/>
      <c r="E928" s="27"/>
      <c r="F928" s="27"/>
      <c r="G928" s="27"/>
      <c r="H928" s="27"/>
    </row>
    <row r="929" spans="2:8" ht="15" x14ac:dyDescent="0.25">
      <c r="B929" s="27"/>
      <c r="C929" s="27"/>
      <c r="D929" s="27"/>
      <c r="E929" s="27"/>
      <c r="F929" s="27"/>
      <c r="G929" s="27"/>
      <c r="H929" s="27"/>
    </row>
    <row r="930" spans="2:8" ht="15" x14ac:dyDescent="0.25">
      <c r="B930" s="27"/>
      <c r="C930" s="27"/>
      <c r="D930" s="27"/>
      <c r="E930" s="27"/>
      <c r="F930" s="27"/>
      <c r="G930" s="27"/>
      <c r="H930" s="27"/>
    </row>
    <row r="931" spans="2:8" ht="15" x14ac:dyDescent="0.25">
      <c r="B931" s="27"/>
      <c r="C931" s="27"/>
      <c r="D931" s="27"/>
      <c r="E931" s="27"/>
      <c r="F931" s="27"/>
      <c r="G931" s="27"/>
      <c r="H931" s="27"/>
    </row>
    <row r="932" spans="2:8" ht="15" x14ac:dyDescent="0.25">
      <c r="B932" s="27"/>
      <c r="C932" s="27"/>
      <c r="D932" s="27"/>
      <c r="E932" s="27"/>
      <c r="F932" s="27"/>
      <c r="G932" s="27"/>
      <c r="H932" s="27"/>
    </row>
    <row r="933" spans="2:8" ht="15" x14ac:dyDescent="0.25">
      <c r="B933" s="27"/>
      <c r="C933" s="27"/>
      <c r="D933" s="27"/>
      <c r="E933" s="27"/>
      <c r="F933" s="27"/>
      <c r="G933" s="27"/>
      <c r="H933" s="27"/>
    </row>
    <row r="934" spans="2:8" ht="15" x14ac:dyDescent="0.25">
      <c r="B934" s="27"/>
      <c r="C934" s="27"/>
      <c r="D934" s="27"/>
      <c r="E934" s="27"/>
      <c r="F934" s="27"/>
      <c r="G934" s="27"/>
      <c r="H934" s="27"/>
    </row>
    <row r="935" spans="2:8" ht="15" x14ac:dyDescent="0.25">
      <c r="B935" s="27"/>
      <c r="C935" s="27"/>
      <c r="D935" s="27"/>
      <c r="E935" s="27"/>
      <c r="F935" s="27"/>
      <c r="G935" s="27"/>
      <c r="H935" s="27"/>
    </row>
    <row r="936" spans="2:8" ht="15" x14ac:dyDescent="0.25">
      <c r="B936" s="27"/>
      <c r="C936" s="27"/>
      <c r="D936" s="27"/>
      <c r="E936" s="27"/>
      <c r="F936" s="27"/>
      <c r="G936" s="27"/>
      <c r="H936" s="27"/>
    </row>
    <row r="937" spans="2:8" ht="15" x14ac:dyDescent="0.25">
      <c r="B937" s="27"/>
      <c r="C937" s="27"/>
      <c r="D937" s="27"/>
      <c r="E937" s="27"/>
      <c r="F937" s="27"/>
      <c r="G937" s="27"/>
      <c r="H937" s="27"/>
    </row>
    <row r="938" spans="2:8" ht="15" x14ac:dyDescent="0.25">
      <c r="B938" s="27"/>
      <c r="C938" s="27"/>
      <c r="D938" s="27"/>
      <c r="E938" s="27"/>
      <c r="F938" s="27"/>
      <c r="G938" s="27"/>
      <c r="H938" s="27"/>
    </row>
    <row r="939" spans="2:8" ht="15" x14ac:dyDescent="0.25">
      <c r="B939" s="27"/>
      <c r="C939" s="27"/>
      <c r="D939" s="27"/>
      <c r="E939" s="27"/>
      <c r="F939" s="27"/>
      <c r="G939" s="27"/>
      <c r="H939" s="27"/>
    </row>
    <row r="940" spans="2:8" ht="15" x14ac:dyDescent="0.25">
      <c r="B940" s="27"/>
      <c r="C940" s="27"/>
      <c r="D940" s="27"/>
      <c r="E940" s="27"/>
      <c r="F940" s="27"/>
      <c r="G940" s="27"/>
      <c r="H940" s="27"/>
    </row>
    <row r="941" spans="2:8" ht="15" x14ac:dyDescent="0.25">
      <c r="B941" s="27"/>
      <c r="C941" s="27"/>
      <c r="D941" s="27"/>
      <c r="E941" s="27"/>
      <c r="F941" s="27"/>
      <c r="G941" s="27"/>
      <c r="H941" s="27"/>
    </row>
    <row r="942" spans="2:8" ht="15" x14ac:dyDescent="0.25">
      <c r="B942" s="27"/>
      <c r="C942" s="27"/>
      <c r="D942" s="27"/>
      <c r="E942" s="27"/>
      <c r="F942" s="27"/>
      <c r="G942" s="27"/>
      <c r="H942" s="27"/>
    </row>
    <row r="943" spans="2:8" ht="15" x14ac:dyDescent="0.25">
      <c r="B943" s="27"/>
      <c r="C943" s="27"/>
      <c r="D943" s="27"/>
      <c r="E943" s="27"/>
      <c r="F943" s="27"/>
      <c r="G943" s="27"/>
      <c r="H943" s="27"/>
    </row>
    <row r="944" spans="2:8" ht="15" x14ac:dyDescent="0.25">
      <c r="B944" s="27"/>
      <c r="C944" s="27"/>
      <c r="D944" s="27"/>
      <c r="E944" s="27"/>
      <c r="F944" s="27"/>
      <c r="G944" s="27"/>
      <c r="H944" s="27"/>
    </row>
    <row r="945" spans="2:8" ht="15" x14ac:dyDescent="0.25">
      <c r="B945" s="27"/>
      <c r="C945" s="27"/>
      <c r="D945" s="27"/>
      <c r="E945" s="27"/>
      <c r="F945" s="27"/>
      <c r="G945" s="27"/>
      <c r="H945" s="27"/>
    </row>
    <row r="946" spans="2:8" ht="15" x14ac:dyDescent="0.25">
      <c r="B946" s="27"/>
      <c r="C946" s="27"/>
      <c r="D946" s="27"/>
      <c r="E946" s="27"/>
      <c r="F946" s="27"/>
      <c r="G946" s="27"/>
      <c r="H946" s="27"/>
    </row>
    <row r="947" spans="2:8" ht="15" x14ac:dyDescent="0.25">
      <c r="B947" s="27"/>
      <c r="C947" s="27"/>
      <c r="D947" s="27"/>
      <c r="E947" s="27"/>
      <c r="F947" s="27"/>
      <c r="G947" s="27"/>
      <c r="H947" s="27"/>
    </row>
    <row r="948" spans="2:8" ht="15" x14ac:dyDescent="0.25">
      <c r="B948" s="27"/>
      <c r="C948" s="27"/>
      <c r="D948" s="27"/>
      <c r="E948" s="27"/>
      <c r="F948" s="27"/>
      <c r="G948" s="27"/>
      <c r="H948" s="27"/>
    </row>
    <row r="949" spans="2:8" ht="15" x14ac:dyDescent="0.25">
      <c r="B949" s="27"/>
      <c r="C949" s="27"/>
      <c r="D949" s="27"/>
      <c r="E949" s="27"/>
      <c r="F949" s="27"/>
      <c r="G949" s="27"/>
      <c r="H949" s="27"/>
    </row>
    <row r="950" spans="2:8" ht="15" x14ac:dyDescent="0.25">
      <c r="B950" s="27"/>
      <c r="C950" s="27"/>
      <c r="D950" s="27"/>
      <c r="E950" s="27"/>
      <c r="F950" s="27"/>
      <c r="G950" s="27"/>
      <c r="H950" s="27"/>
    </row>
    <row r="951" spans="2:8" ht="15" x14ac:dyDescent="0.25">
      <c r="B951" s="27"/>
      <c r="C951" s="27"/>
      <c r="D951" s="27"/>
      <c r="E951" s="27"/>
      <c r="F951" s="27"/>
      <c r="G951" s="27"/>
      <c r="H951" s="27"/>
    </row>
    <row r="952" spans="2:8" ht="15" x14ac:dyDescent="0.25">
      <c r="B952" s="27"/>
      <c r="C952" s="27"/>
      <c r="D952" s="27"/>
      <c r="E952" s="27"/>
      <c r="F952" s="27"/>
      <c r="G952" s="27"/>
      <c r="H952" s="27"/>
    </row>
    <row r="953" spans="2:8" ht="15" x14ac:dyDescent="0.25">
      <c r="B953" s="27"/>
      <c r="C953" s="27"/>
      <c r="D953" s="27"/>
      <c r="E953" s="27"/>
      <c r="F953" s="27"/>
      <c r="G953" s="27"/>
      <c r="H953" s="27"/>
    </row>
    <row r="954" spans="2:8" ht="15" x14ac:dyDescent="0.25">
      <c r="B954" s="27"/>
      <c r="C954" s="27"/>
      <c r="D954" s="27"/>
      <c r="E954" s="27"/>
      <c r="F954" s="27"/>
      <c r="G954" s="27"/>
      <c r="H954" s="27"/>
    </row>
    <row r="955" spans="2:8" ht="15" x14ac:dyDescent="0.25">
      <c r="B955" s="27"/>
      <c r="C955" s="27"/>
      <c r="D955" s="27"/>
      <c r="E955" s="27"/>
      <c r="F955" s="27"/>
      <c r="G955" s="27"/>
      <c r="H955" s="27"/>
    </row>
    <row r="956" spans="2:8" ht="15" x14ac:dyDescent="0.25">
      <c r="B956" s="27"/>
      <c r="C956" s="27"/>
      <c r="D956" s="27"/>
      <c r="E956" s="27"/>
      <c r="F956" s="27"/>
      <c r="G956" s="27"/>
      <c r="H956" s="27"/>
    </row>
    <row r="957" spans="2:8" ht="15" x14ac:dyDescent="0.25">
      <c r="B957" s="27"/>
      <c r="C957" s="27"/>
      <c r="D957" s="27"/>
      <c r="E957" s="27"/>
      <c r="F957" s="27"/>
      <c r="G957" s="27"/>
      <c r="H957" s="27"/>
    </row>
    <row r="958" spans="2:8" ht="15" x14ac:dyDescent="0.25">
      <c r="B958" s="27"/>
      <c r="C958" s="27"/>
      <c r="D958" s="27"/>
      <c r="E958" s="27"/>
      <c r="F958" s="27"/>
      <c r="G958" s="27"/>
      <c r="H958" s="27"/>
    </row>
    <row r="959" spans="2:8" ht="15" x14ac:dyDescent="0.25">
      <c r="B959" s="27"/>
      <c r="C959" s="27"/>
      <c r="D959" s="27"/>
      <c r="E959" s="27"/>
      <c r="F959" s="27"/>
      <c r="G959" s="27"/>
      <c r="H959" s="27"/>
    </row>
    <row r="960" spans="2:8" ht="15" x14ac:dyDescent="0.25">
      <c r="B960" s="27"/>
      <c r="C960" s="27"/>
      <c r="D960" s="27"/>
      <c r="E960" s="27"/>
      <c r="F960" s="27"/>
      <c r="G960" s="27"/>
      <c r="H960" s="27"/>
    </row>
    <row r="961" spans="2:8" ht="15" x14ac:dyDescent="0.25">
      <c r="B961" s="27"/>
      <c r="C961" s="27"/>
      <c r="D961" s="27"/>
      <c r="E961" s="27"/>
      <c r="F961" s="27"/>
      <c r="G961" s="27"/>
      <c r="H961" s="27"/>
    </row>
    <row r="962" spans="2:8" ht="15" x14ac:dyDescent="0.25">
      <c r="B962" s="27"/>
      <c r="C962" s="27"/>
      <c r="D962" s="27"/>
      <c r="E962" s="27"/>
      <c r="F962" s="27"/>
      <c r="G962" s="27"/>
      <c r="H962" s="27"/>
    </row>
    <row r="963" spans="2:8" ht="15" x14ac:dyDescent="0.25">
      <c r="B963" s="27"/>
      <c r="C963" s="27"/>
      <c r="D963" s="27"/>
      <c r="E963" s="27"/>
      <c r="F963" s="27"/>
      <c r="G963" s="27"/>
      <c r="H963" s="27"/>
    </row>
    <row r="964" spans="2:8" ht="15" x14ac:dyDescent="0.25">
      <c r="B964" s="27"/>
      <c r="C964" s="27"/>
      <c r="D964" s="27"/>
      <c r="E964" s="27"/>
      <c r="F964" s="27"/>
      <c r="G964" s="27"/>
      <c r="H964" s="27"/>
    </row>
    <row r="965" spans="2:8" ht="15" x14ac:dyDescent="0.25">
      <c r="B965" s="27"/>
      <c r="C965" s="27"/>
      <c r="D965" s="27"/>
      <c r="E965" s="27"/>
      <c r="F965" s="27"/>
      <c r="G965" s="27"/>
      <c r="H965" s="27"/>
    </row>
    <row r="966" spans="2:8" ht="15" x14ac:dyDescent="0.25">
      <c r="B966" s="27"/>
      <c r="C966" s="27"/>
      <c r="D966" s="27"/>
      <c r="E966" s="27"/>
      <c r="F966" s="27"/>
      <c r="G966" s="27"/>
      <c r="H966" s="27"/>
    </row>
    <row r="967" spans="2:8" ht="15" x14ac:dyDescent="0.25">
      <c r="B967" s="27"/>
      <c r="C967" s="27"/>
      <c r="D967" s="27"/>
      <c r="E967" s="27"/>
      <c r="F967" s="27"/>
      <c r="G967" s="27"/>
      <c r="H967" s="27"/>
    </row>
    <row r="968" spans="2:8" ht="15" x14ac:dyDescent="0.25">
      <c r="B968" s="27"/>
      <c r="C968" s="27"/>
      <c r="D968" s="27"/>
      <c r="E968" s="27"/>
      <c r="F968" s="27"/>
      <c r="G968" s="27"/>
      <c r="H968" s="27"/>
    </row>
    <row r="969" spans="2:8" ht="15" x14ac:dyDescent="0.25">
      <c r="B969" s="27"/>
      <c r="C969" s="27"/>
      <c r="D969" s="27"/>
      <c r="E969" s="27"/>
      <c r="F969" s="27"/>
      <c r="G969" s="27"/>
      <c r="H969" s="27"/>
    </row>
    <row r="970" spans="2:8" ht="15" x14ac:dyDescent="0.25">
      <c r="B970" s="27"/>
      <c r="C970" s="27"/>
      <c r="D970" s="27"/>
      <c r="E970" s="27"/>
      <c r="F970" s="27"/>
      <c r="G970" s="27"/>
      <c r="H970" s="27"/>
    </row>
    <row r="971" spans="2:8" ht="15" x14ac:dyDescent="0.25">
      <c r="B971" s="27"/>
      <c r="C971" s="27"/>
      <c r="D971" s="27"/>
      <c r="E971" s="27"/>
      <c r="F971" s="27"/>
      <c r="G971" s="27"/>
      <c r="H971" s="27"/>
    </row>
    <row r="972" spans="2:8" ht="15" x14ac:dyDescent="0.25">
      <c r="B972" s="27"/>
      <c r="C972" s="27"/>
      <c r="D972" s="27"/>
      <c r="E972" s="27"/>
      <c r="F972" s="27"/>
      <c r="G972" s="27"/>
      <c r="H972" s="27"/>
    </row>
    <row r="973" spans="2:8" ht="15" x14ac:dyDescent="0.25">
      <c r="B973" s="27"/>
      <c r="C973" s="27"/>
      <c r="D973" s="27"/>
      <c r="E973" s="27"/>
      <c r="F973" s="27"/>
      <c r="G973" s="27"/>
      <c r="H973" s="27"/>
    </row>
    <row r="974" spans="2:8" ht="15" x14ac:dyDescent="0.25">
      <c r="B974" s="27"/>
      <c r="C974" s="27"/>
      <c r="D974" s="27"/>
      <c r="E974" s="27"/>
      <c r="F974" s="27"/>
      <c r="G974" s="27"/>
      <c r="H974" s="27"/>
    </row>
    <row r="975" spans="2:8" ht="15" x14ac:dyDescent="0.25">
      <c r="B975" s="27"/>
      <c r="C975" s="27"/>
      <c r="D975" s="27"/>
      <c r="E975" s="27"/>
      <c r="F975" s="27"/>
      <c r="G975" s="27"/>
      <c r="H975" s="27"/>
    </row>
    <row r="976" spans="2:8" ht="15" x14ac:dyDescent="0.25">
      <c r="B976" s="27"/>
      <c r="C976" s="27"/>
      <c r="D976" s="27"/>
      <c r="E976" s="27"/>
      <c r="F976" s="27"/>
      <c r="G976" s="27"/>
      <c r="H976" s="27"/>
    </row>
    <row r="977" spans="2:8" ht="15" x14ac:dyDescent="0.25">
      <c r="B977" s="27"/>
      <c r="C977" s="27"/>
      <c r="D977" s="27"/>
      <c r="E977" s="27"/>
      <c r="F977" s="27"/>
      <c r="G977" s="27"/>
      <c r="H977" s="27"/>
    </row>
    <row r="978" spans="2:8" ht="15" x14ac:dyDescent="0.25">
      <c r="B978" s="27"/>
      <c r="C978" s="27"/>
      <c r="D978" s="27"/>
      <c r="E978" s="27"/>
      <c r="F978" s="27"/>
      <c r="G978" s="27"/>
      <c r="H978" s="27"/>
    </row>
    <row r="979" spans="2:8" ht="15" x14ac:dyDescent="0.25">
      <c r="B979" s="27"/>
      <c r="C979" s="27"/>
      <c r="D979" s="27"/>
      <c r="E979" s="27"/>
      <c r="F979" s="27"/>
      <c r="G979" s="27"/>
      <c r="H979" s="27"/>
    </row>
    <row r="980" spans="2:8" ht="15" x14ac:dyDescent="0.25">
      <c r="B980" s="27"/>
      <c r="C980" s="27"/>
      <c r="D980" s="27"/>
      <c r="E980" s="27"/>
      <c r="F980" s="27"/>
      <c r="G980" s="27"/>
      <c r="H980" s="27"/>
    </row>
    <row r="981" spans="2:8" ht="15" x14ac:dyDescent="0.25">
      <c r="B981" s="27"/>
      <c r="C981" s="27"/>
      <c r="D981" s="27"/>
      <c r="E981" s="27"/>
      <c r="F981" s="27"/>
      <c r="G981" s="27"/>
      <c r="H981" s="27"/>
    </row>
    <row r="982" spans="2:8" ht="15" x14ac:dyDescent="0.25">
      <c r="B982" s="27"/>
      <c r="C982" s="27"/>
      <c r="D982" s="27"/>
      <c r="E982" s="27"/>
      <c r="F982" s="27"/>
      <c r="G982" s="27"/>
      <c r="H982" s="27"/>
    </row>
    <row r="983" spans="2:8" ht="15" x14ac:dyDescent="0.25">
      <c r="B983" s="27"/>
      <c r="C983" s="27"/>
      <c r="D983" s="27"/>
      <c r="E983" s="27"/>
      <c r="F983" s="27"/>
      <c r="G983" s="27"/>
      <c r="H983" s="27"/>
    </row>
    <row r="984" spans="2:8" ht="15" x14ac:dyDescent="0.25">
      <c r="B984" s="27"/>
      <c r="C984" s="27"/>
      <c r="D984" s="27"/>
      <c r="E984" s="27"/>
      <c r="F984" s="27"/>
      <c r="G984" s="27"/>
      <c r="H984" s="27"/>
    </row>
    <row r="985" spans="2:8" ht="15" x14ac:dyDescent="0.25">
      <c r="B985" s="27"/>
      <c r="C985" s="27"/>
      <c r="D985" s="27"/>
      <c r="E985" s="27"/>
      <c r="F985" s="27"/>
      <c r="G985" s="27"/>
      <c r="H985" s="27"/>
    </row>
    <row r="986" spans="2:8" ht="15" x14ac:dyDescent="0.25">
      <c r="B986" s="27"/>
      <c r="C986" s="27"/>
      <c r="D986" s="27"/>
      <c r="E986" s="27"/>
      <c r="F986" s="27"/>
      <c r="G986" s="27"/>
      <c r="H986" s="27"/>
    </row>
    <row r="987" spans="2:8" ht="15" x14ac:dyDescent="0.25">
      <c r="B987" s="27"/>
      <c r="C987" s="27"/>
      <c r="D987" s="27"/>
      <c r="E987" s="27"/>
      <c r="F987" s="27"/>
      <c r="G987" s="27"/>
      <c r="H987" s="27"/>
    </row>
    <row r="988" spans="2:8" ht="15" x14ac:dyDescent="0.25">
      <c r="B988" s="27"/>
      <c r="C988" s="27"/>
      <c r="D988" s="27"/>
      <c r="E988" s="27"/>
      <c r="F988" s="27"/>
      <c r="G988" s="27"/>
      <c r="H988" s="27"/>
    </row>
    <row r="989" spans="2:8" ht="15" x14ac:dyDescent="0.25">
      <c r="B989" s="27"/>
      <c r="C989" s="27"/>
      <c r="D989" s="27"/>
      <c r="E989" s="27"/>
      <c r="F989" s="27"/>
      <c r="G989" s="27"/>
      <c r="H989" s="27"/>
    </row>
    <row r="990" spans="2:8" ht="15" x14ac:dyDescent="0.25">
      <c r="B990" s="27"/>
      <c r="C990" s="27"/>
      <c r="D990" s="27"/>
      <c r="E990" s="27"/>
      <c r="F990" s="27"/>
      <c r="G990" s="27"/>
      <c r="H990" s="27"/>
    </row>
    <row r="991" spans="2:8" ht="15" x14ac:dyDescent="0.25">
      <c r="B991" s="27"/>
      <c r="C991" s="27"/>
      <c r="D991" s="27"/>
      <c r="E991" s="27"/>
      <c r="F991" s="27"/>
      <c r="G991" s="27"/>
      <c r="H991" s="27"/>
    </row>
    <row r="992" spans="2:8" ht="15" x14ac:dyDescent="0.25">
      <c r="B992" s="27"/>
      <c r="C992" s="27"/>
      <c r="D992" s="27"/>
      <c r="E992" s="27"/>
      <c r="F992" s="27"/>
      <c r="G992" s="27"/>
      <c r="H992" s="27"/>
    </row>
    <row r="993" spans="2:8" ht="15" x14ac:dyDescent="0.25">
      <c r="B993" s="27"/>
      <c r="C993" s="27"/>
      <c r="D993" s="27"/>
      <c r="E993" s="27"/>
      <c r="F993" s="27"/>
      <c r="G993" s="27"/>
      <c r="H993" s="27"/>
    </row>
    <row r="994" spans="2:8" ht="15" x14ac:dyDescent="0.25">
      <c r="B994" s="27"/>
      <c r="C994" s="27"/>
      <c r="D994" s="27"/>
      <c r="E994" s="27"/>
      <c r="F994" s="27"/>
      <c r="G994" s="27"/>
      <c r="H994" s="27"/>
    </row>
    <row r="995" spans="2:8" ht="15" x14ac:dyDescent="0.25">
      <c r="B995" s="27"/>
      <c r="C995" s="27"/>
      <c r="D995" s="27"/>
      <c r="E995" s="27"/>
      <c r="F995" s="27"/>
      <c r="G995" s="27"/>
      <c r="H995" s="27"/>
    </row>
    <row r="996" spans="2:8" ht="15" x14ac:dyDescent="0.25">
      <c r="B996" s="27"/>
      <c r="C996" s="27"/>
      <c r="D996" s="27"/>
      <c r="E996" s="27"/>
      <c r="F996" s="27"/>
      <c r="G996" s="27"/>
      <c r="H996" s="27"/>
    </row>
    <row r="997" spans="2:8" ht="15" x14ac:dyDescent="0.25">
      <c r="B997" s="27"/>
      <c r="C997" s="27"/>
      <c r="D997" s="27"/>
      <c r="E997" s="27"/>
      <c r="F997" s="27"/>
      <c r="G997" s="27"/>
      <c r="H997" s="27"/>
    </row>
    <row r="998" spans="2:8" ht="15" x14ac:dyDescent="0.25">
      <c r="B998" s="27"/>
      <c r="C998" s="27"/>
      <c r="D998" s="27"/>
      <c r="E998" s="27"/>
      <c r="F998" s="27"/>
      <c r="G998" s="27"/>
      <c r="H998" s="27"/>
    </row>
    <row r="999" spans="2:8" ht="15" x14ac:dyDescent="0.25">
      <c r="B999" s="27"/>
      <c r="C999" s="27"/>
      <c r="D999" s="27"/>
      <c r="E999" s="27"/>
      <c r="F999" s="27"/>
      <c r="G999" s="27"/>
      <c r="H999" s="27"/>
    </row>
    <row r="1000" spans="2:8" ht="15" x14ac:dyDescent="0.25">
      <c r="B1000" s="27"/>
      <c r="C1000" s="27"/>
      <c r="D1000" s="27"/>
      <c r="E1000" s="27"/>
      <c r="F1000" s="27"/>
      <c r="G1000" s="27"/>
      <c r="H1000" s="27"/>
    </row>
    <row r="1001" spans="2:8" ht="15" x14ac:dyDescent="0.25">
      <c r="B1001" s="27"/>
      <c r="C1001" s="27"/>
      <c r="D1001" s="27"/>
      <c r="E1001" s="27"/>
      <c r="F1001" s="27"/>
      <c r="G1001" s="27"/>
      <c r="H1001" s="27"/>
    </row>
    <row r="1002" spans="2:8" ht="15" x14ac:dyDescent="0.25">
      <c r="B1002" s="27"/>
      <c r="C1002" s="27"/>
      <c r="D1002" s="27"/>
      <c r="E1002" s="27"/>
      <c r="F1002" s="27"/>
      <c r="G1002" s="27"/>
      <c r="H1002" s="27"/>
    </row>
    <row r="1003" spans="2:8" ht="15" x14ac:dyDescent="0.25">
      <c r="B1003" s="27"/>
      <c r="C1003" s="27"/>
      <c r="D1003" s="27"/>
      <c r="E1003" s="27"/>
      <c r="F1003" s="27"/>
      <c r="G1003" s="27"/>
      <c r="H1003" s="27"/>
    </row>
    <row r="1004" spans="2:8" ht="15" x14ac:dyDescent="0.25">
      <c r="B1004" s="27"/>
      <c r="C1004" s="27"/>
      <c r="D1004" s="27"/>
      <c r="E1004" s="27"/>
      <c r="F1004" s="27"/>
      <c r="G1004" s="27"/>
      <c r="H1004" s="27"/>
    </row>
    <row r="1005" spans="2:8" ht="15" x14ac:dyDescent="0.25">
      <c r="B1005" s="27"/>
      <c r="C1005" s="27"/>
      <c r="D1005" s="27"/>
      <c r="E1005" s="27"/>
      <c r="F1005" s="27"/>
      <c r="G1005" s="27"/>
      <c r="H1005" s="27"/>
    </row>
    <row r="1006" spans="2:8" ht="15" x14ac:dyDescent="0.25">
      <c r="B1006" s="27"/>
      <c r="C1006" s="27"/>
      <c r="D1006" s="27"/>
      <c r="E1006" s="27"/>
      <c r="F1006" s="27"/>
      <c r="G1006" s="27"/>
      <c r="H1006" s="27"/>
    </row>
    <row r="1007" spans="2:8" ht="15" x14ac:dyDescent="0.25">
      <c r="B1007" s="27"/>
      <c r="C1007" s="27"/>
      <c r="D1007" s="27"/>
      <c r="E1007" s="27"/>
      <c r="F1007" s="27"/>
      <c r="G1007" s="27"/>
      <c r="H1007" s="27"/>
    </row>
    <row r="1008" spans="2:8" ht="15" x14ac:dyDescent="0.25">
      <c r="B1008" s="27"/>
      <c r="C1008" s="27"/>
      <c r="D1008" s="27"/>
      <c r="E1008" s="27"/>
      <c r="F1008" s="27"/>
      <c r="G1008" s="27"/>
      <c r="H1008" s="27"/>
    </row>
    <row r="1009" spans="2:8" ht="15" x14ac:dyDescent="0.25">
      <c r="B1009" s="27"/>
      <c r="C1009" s="27"/>
      <c r="D1009" s="27"/>
      <c r="E1009" s="27"/>
      <c r="F1009" s="27"/>
      <c r="G1009" s="27"/>
      <c r="H1009" s="27"/>
    </row>
    <row r="1010" spans="2:8" ht="15" x14ac:dyDescent="0.25">
      <c r="B1010" s="27"/>
      <c r="C1010" s="27"/>
      <c r="D1010" s="27"/>
      <c r="E1010" s="27"/>
      <c r="F1010" s="27"/>
      <c r="G1010" s="27"/>
      <c r="H1010" s="27"/>
    </row>
    <row r="1011" spans="2:8" ht="15" x14ac:dyDescent="0.25">
      <c r="B1011" s="27"/>
      <c r="C1011" s="27"/>
      <c r="D1011" s="27"/>
      <c r="E1011" s="27"/>
      <c r="F1011" s="27"/>
      <c r="G1011" s="27"/>
      <c r="H1011" s="27"/>
    </row>
    <row r="1012" spans="2:8" ht="15" x14ac:dyDescent="0.25">
      <c r="B1012" s="27"/>
      <c r="C1012" s="27"/>
      <c r="D1012" s="27"/>
      <c r="E1012" s="27"/>
      <c r="F1012" s="27"/>
      <c r="G1012" s="27"/>
      <c r="H1012" s="27"/>
    </row>
    <row r="1013" spans="2:8" ht="15" x14ac:dyDescent="0.25">
      <c r="B1013" s="27"/>
      <c r="C1013" s="27"/>
      <c r="D1013" s="27"/>
      <c r="E1013" s="27"/>
      <c r="F1013" s="27"/>
      <c r="G1013" s="27"/>
      <c r="H1013" s="27"/>
    </row>
    <row r="1014" spans="2:8" ht="15" x14ac:dyDescent="0.25">
      <c r="B1014" s="27"/>
      <c r="C1014" s="27"/>
      <c r="D1014" s="27"/>
      <c r="E1014" s="27"/>
      <c r="F1014" s="27"/>
      <c r="G1014" s="27"/>
      <c r="H1014" s="27"/>
    </row>
    <row r="1015" spans="2:8" ht="15" x14ac:dyDescent="0.25">
      <c r="B1015" s="27"/>
      <c r="C1015" s="27"/>
      <c r="D1015" s="27"/>
      <c r="E1015" s="27"/>
      <c r="F1015" s="27"/>
      <c r="G1015" s="27"/>
      <c r="H1015" s="27"/>
    </row>
    <row r="1016" spans="2:8" ht="15" x14ac:dyDescent="0.25">
      <c r="B1016" s="27"/>
      <c r="C1016" s="27"/>
      <c r="D1016" s="27"/>
      <c r="E1016" s="27"/>
      <c r="F1016" s="27"/>
      <c r="G1016" s="27"/>
      <c r="H1016" s="27"/>
    </row>
    <row r="1017" spans="2:8" ht="15" x14ac:dyDescent="0.25">
      <c r="B1017" s="27"/>
      <c r="C1017" s="27"/>
      <c r="D1017" s="27"/>
      <c r="E1017" s="27"/>
      <c r="F1017" s="27"/>
      <c r="G1017" s="27"/>
      <c r="H1017" s="27"/>
    </row>
    <row r="1018" spans="2:8" ht="15" x14ac:dyDescent="0.25">
      <c r="B1018" s="27"/>
      <c r="C1018" s="27"/>
      <c r="D1018" s="27"/>
      <c r="E1018" s="27"/>
      <c r="F1018" s="27"/>
      <c r="G1018" s="27"/>
      <c r="H1018" s="27"/>
    </row>
    <row r="1019" spans="2:8" ht="15" x14ac:dyDescent="0.25">
      <c r="B1019" s="27"/>
      <c r="C1019" s="27"/>
      <c r="D1019" s="27"/>
      <c r="E1019" s="27"/>
      <c r="F1019" s="27"/>
      <c r="G1019" s="27"/>
      <c r="H1019" s="27"/>
    </row>
    <row r="1020" spans="2:8" ht="15" x14ac:dyDescent="0.25">
      <c r="B1020" s="27"/>
      <c r="C1020" s="27"/>
      <c r="D1020" s="27"/>
      <c r="E1020" s="27"/>
      <c r="F1020" s="27"/>
      <c r="G1020" s="27"/>
      <c r="H1020" s="27"/>
    </row>
    <row r="1021" spans="2:8" ht="15" x14ac:dyDescent="0.25">
      <c r="B1021" s="27"/>
      <c r="C1021" s="27"/>
      <c r="D1021" s="27"/>
      <c r="E1021" s="27"/>
      <c r="F1021" s="27"/>
      <c r="G1021" s="27"/>
      <c r="H1021" s="27"/>
    </row>
    <row r="1022" spans="2:8" ht="15" x14ac:dyDescent="0.25">
      <c r="B1022" s="27"/>
      <c r="C1022" s="27"/>
      <c r="D1022" s="27"/>
      <c r="E1022" s="27"/>
      <c r="F1022" s="27"/>
      <c r="G1022" s="27"/>
      <c r="H1022" s="27"/>
    </row>
    <row r="1023" spans="2:8" ht="15" x14ac:dyDescent="0.25">
      <c r="B1023" s="27"/>
      <c r="C1023" s="27"/>
      <c r="D1023" s="27"/>
      <c r="E1023" s="27"/>
      <c r="F1023" s="27"/>
      <c r="G1023" s="27"/>
      <c r="H1023" s="27"/>
    </row>
    <row r="1024" spans="2:8" ht="15" x14ac:dyDescent="0.25">
      <c r="B1024" s="27"/>
      <c r="C1024" s="27"/>
      <c r="D1024" s="27"/>
      <c r="E1024" s="27"/>
      <c r="F1024" s="27"/>
      <c r="G1024" s="27"/>
      <c r="H1024" s="27"/>
    </row>
    <row r="1025" spans="2:8" ht="15" x14ac:dyDescent="0.25">
      <c r="B1025" s="27"/>
      <c r="C1025" s="27"/>
      <c r="D1025" s="27"/>
      <c r="E1025" s="27"/>
      <c r="F1025" s="27"/>
      <c r="G1025" s="27"/>
      <c r="H1025" s="27"/>
    </row>
    <row r="1026" spans="2:8" ht="15" x14ac:dyDescent="0.25">
      <c r="B1026" s="27"/>
      <c r="C1026" s="27"/>
      <c r="D1026" s="27"/>
      <c r="E1026" s="27"/>
      <c r="F1026" s="27"/>
      <c r="G1026" s="27"/>
      <c r="H1026" s="27"/>
    </row>
    <row r="1027" spans="2:8" ht="15" x14ac:dyDescent="0.25">
      <c r="B1027" s="27"/>
      <c r="C1027" s="27"/>
      <c r="D1027" s="27"/>
      <c r="E1027" s="27"/>
      <c r="F1027" s="27"/>
      <c r="G1027" s="27"/>
      <c r="H1027" s="27"/>
    </row>
    <row r="1028" spans="2:8" ht="15" x14ac:dyDescent="0.25">
      <c r="B1028" s="27"/>
      <c r="C1028" s="27"/>
      <c r="D1028" s="27"/>
      <c r="E1028" s="27"/>
      <c r="F1028" s="27"/>
      <c r="G1028" s="27"/>
      <c r="H1028" s="27"/>
    </row>
    <row r="1029" spans="2:8" ht="15" x14ac:dyDescent="0.25">
      <c r="B1029" s="27"/>
      <c r="C1029" s="27"/>
      <c r="D1029" s="27"/>
      <c r="E1029" s="27"/>
      <c r="F1029" s="27"/>
      <c r="G1029" s="27"/>
      <c r="H1029" s="27"/>
    </row>
    <row r="1030" spans="2:8" ht="15" x14ac:dyDescent="0.25">
      <c r="B1030" s="27"/>
      <c r="C1030" s="27"/>
      <c r="D1030" s="27"/>
      <c r="E1030" s="27"/>
      <c r="F1030" s="27"/>
      <c r="G1030" s="27"/>
      <c r="H1030" s="27"/>
    </row>
    <row r="1031" spans="2:8" ht="15" x14ac:dyDescent="0.25">
      <c r="B1031" s="27"/>
      <c r="C1031" s="27"/>
      <c r="D1031" s="27"/>
      <c r="E1031" s="27"/>
      <c r="F1031" s="27"/>
      <c r="G1031" s="27"/>
      <c r="H1031" s="27"/>
    </row>
    <row r="1032" spans="2:8" ht="15" x14ac:dyDescent="0.25">
      <c r="B1032" s="27"/>
      <c r="C1032" s="27"/>
      <c r="D1032" s="27"/>
      <c r="E1032" s="27"/>
      <c r="F1032" s="27"/>
      <c r="G1032" s="27"/>
      <c r="H1032" s="27"/>
    </row>
    <row r="1033" spans="2:8" ht="15" x14ac:dyDescent="0.25">
      <c r="B1033" s="27"/>
      <c r="C1033" s="27"/>
      <c r="D1033" s="27"/>
      <c r="E1033" s="27"/>
      <c r="F1033" s="27"/>
      <c r="G1033" s="27"/>
      <c r="H1033" s="27"/>
    </row>
    <row r="1034" spans="2:8" ht="15" x14ac:dyDescent="0.25">
      <c r="B1034" s="27"/>
      <c r="C1034" s="27"/>
      <c r="D1034" s="27"/>
      <c r="E1034" s="27"/>
      <c r="F1034" s="27"/>
      <c r="G1034" s="27"/>
      <c r="H1034" s="27"/>
    </row>
    <row r="1035" spans="2:8" ht="15" x14ac:dyDescent="0.25">
      <c r="B1035" s="27"/>
      <c r="C1035" s="27"/>
      <c r="D1035" s="27"/>
      <c r="E1035" s="27"/>
      <c r="F1035" s="27"/>
      <c r="G1035" s="27"/>
      <c r="H1035" s="27"/>
    </row>
    <row r="1036" spans="2:8" ht="15" x14ac:dyDescent="0.25">
      <c r="B1036" s="27"/>
      <c r="C1036" s="27"/>
      <c r="D1036" s="27"/>
      <c r="E1036" s="27"/>
      <c r="F1036" s="27"/>
      <c r="G1036" s="27"/>
      <c r="H1036" s="27"/>
    </row>
    <row r="1037" spans="2:8" ht="15" x14ac:dyDescent="0.25">
      <c r="B1037" s="27"/>
      <c r="C1037" s="27"/>
      <c r="D1037" s="27"/>
      <c r="E1037" s="27"/>
      <c r="F1037" s="27"/>
      <c r="G1037" s="27"/>
      <c r="H1037" s="27"/>
    </row>
    <row r="1038" spans="2:8" ht="15" x14ac:dyDescent="0.25">
      <c r="B1038" s="27"/>
      <c r="C1038" s="27"/>
      <c r="D1038" s="27"/>
      <c r="E1038" s="27"/>
      <c r="F1038" s="27"/>
      <c r="G1038" s="27"/>
      <c r="H1038" s="27"/>
    </row>
    <row r="1039" spans="2:8" ht="15" x14ac:dyDescent="0.25">
      <c r="B1039" s="27"/>
      <c r="C1039" s="27"/>
      <c r="D1039" s="27"/>
      <c r="E1039" s="27"/>
      <c r="F1039" s="27"/>
      <c r="G1039" s="27"/>
      <c r="H1039" s="27"/>
    </row>
    <row r="1040" spans="2:8" ht="15" x14ac:dyDescent="0.25">
      <c r="B1040" s="27"/>
      <c r="C1040" s="27"/>
      <c r="D1040" s="27"/>
      <c r="E1040" s="27"/>
      <c r="F1040" s="27"/>
      <c r="G1040" s="27"/>
      <c r="H1040" s="27"/>
    </row>
    <row r="1041" spans="2:8" ht="15" x14ac:dyDescent="0.25">
      <c r="B1041" s="27"/>
      <c r="C1041" s="27"/>
      <c r="D1041" s="27"/>
      <c r="E1041" s="27"/>
      <c r="F1041" s="27"/>
      <c r="G1041" s="27"/>
      <c r="H1041" s="27"/>
    </row>
    <row r="1042" spans="2:8" ht="15" x14ac:dyDescent="0.25">
      <c r="B1042" s="27"/>
      <c r="C1042" s="27"/>
      <c r="D1042" s="27"/>
      <c r="E1042" s="27"/>
      <c r="F1042" s="27"/>
      <c r="G1042" s="27"/>
      <c r="H1042" s="27"/>
    </row>
    <row r="1043" spans="2:8" ht="15" x14ac:dyDescent="0.25">
      <c r="B1043" s="27"/>
      <c r="C1043" s="27"/>
      <c r="D1043" s="27"/>
      <c r="E1043" s="27"/>
      <c r="F1043" s="27"/>
      <c r="G1043" s="27"/>
      <c r="H1043" s="27"/>
    </row>
    <row r="1044" spans="2:8" ht="15" x14ac:dyDescent="0.25">
      <c r="B1044" s="27"/>
      <c r="C1044" s="27"/>
      <c r="D1044" s="27"/>
      <c r="E1044" s="27"/>
      <c r="F1044" s="27"/>
      <c r="G1044" s="27"/>
      <c r="H1044" s="27"/>
    </row>
    <row r="1045" spans="2:8" ht="15" x14ac:dyDescent="0.25">
      <c r="B1045" s="27"/>
      <c r="C1045" s="27"/>
      <c r="D1045" s="27"/>
      <c r="E1045" s="27"/>
      <c r="F1045" s="27"/>
      <c r="G1045" s="27"/>
      <c r="H1045" s="27"/>
    </row>
    <row r="1046" spans="2:8" ht="15" x14ac:dyDescent="0.25">
      <c r="B1046" s="27"/>
      <c r="C1046" s="27"/>
      <c r="D1046" s="27"/>
      <c r="E1046" s="27"/>
      <c r="F1046" s="27"/>
      <c r="G1046" s="27"/>
      <c r="H1046" s="27"/>
    </row>
    <row r="1047" spans="2:8" ht="15" x14ac:dyDescent="0.25">
      <c r="B1047" s="27"/>
      <c r="C1047" s="27"/>
      <c r="D1047" s="27"/>
      <c r="E1047" s="27"/>
      <c r="F1047" s="27"/>
      <c r="G1047" s="27"/>
      <c r="H1047" s="27"/>
    </row>
    <row r="1048" spans="2:8" ht="15" x14ac:dyDescent="0.25">
      <c r="B1048" s="27"/>
      <c r="C1048" s="27"/>
      <c r="D1048" s="27"/>
      <c r="E1048" s="27"/>
      <c r="F1048" s="27"/>
      <c r="G1048" s="27"/>
      <c r="H1048" s="27"/>
    </row>
    <row r="1049" spans="2:8" ht="15" x14ac:dyDescent="0.25">
      <c r="B1049" s="27"/>
      <c r="C1049" s="27"/>
      <c r="D1049" s="27"/>
      <c r="E1049" s="27"/>
      <c r="F1049" s="27"/>
      <c r="G1049" s="27"/>
      <c r="H1049" s="27"/>
    </row>
    <row r="1050" spans="2:8" ht="15" x14ac:dyDescent="0.25">
      <c r="B1050" s="27"/>
      <c r="C1050" s="27"/>
      <c r="D1050" s="27"/>
      <c r="E1050" s="27"/>
      <c r="F1050" s="27"/>
      <c r="G1050" s="27"/>
      <c r="H1050" s="27"/>
    </row>
    <row r="1051" spans="2:8" ht="15" x14ac:dyDescent="0.25">
      <c r="B1051" s="27"/>
      <c r="C1051" s="27"/>
      <c r="D1051" s="27"/>
      <c r="E1051" s="27"/>
      <c r="F1051" s="27"/>
      <c r="G1051" s="27"/>
      <c r="H1051" s="27"/>
    </row>
    <row r="1052" spans="2:8" ht="15" x14ac:dyDescent="0.25">
      <c r="B1052" s="27"/>
      <c r="C1052" s="27"/>
      <c r="D1052" s="27"/>
      <c r="E1052" s="27"/>
      <c r="F1052" s="27"/>
      <c r="G1052" s="27"/>
      <c r="H1052" s="27"/>
    </row>
    <row r="1053" spans="2:8" ht="15" x14ac:dyDescent="0.25">
      <c r="B1053" s="27"/>
      <c r="C1053" s="27"/>
      <c r="D1053" s="27"/>
      <c r="E1053" s="27"/>
      <c r="F1053" s="27"/>
      <c r="G1053" s="27"/>
      <c r="H1053" s="27"/>
    </row>
    <row r="1054" spans="2:8" ht="15" x14ac:dyDescent="0.25">
      <c r="B1054" s="27"/>
      <c r="C1054" s="27"/>
      <c r="D1054" s="27"/>
      <c r="E1054" s="27"/>
      <c r="F1054" s="27"/>
      <c r="G1054" s="27"/>
      <c r="H1054" s="27"/>
    </row>
    <row r="1055" spans="2:8" ht="15" x14ac:dyDescent="0.25">
      <c r="B1055" s="27"/>
      <c r="C1055" s="27"/>
      <c r="D1055" s="27"/>
      <c r="E1055" s="27"/>
      <c r="F1055" s="27"/>
      <c r="G1055" s="27"/>
      <c r="H1055" s="27"/>
    </row>
    <row r="1056" spans="2:8" ht="15" x14ac:dyDescent="0.25">
      <c r="B1056" s="27"/>
      <c r="C1056" s="27"/>
      <c r="D1056" s="27"/>
      <c r="E1056" s="27"/>
      <c r="F1056" s="27"/>
      <c r="G1056" s="27"/>
      <c r="H1056" s="27"/>
    </row>
    <row r="1057" spans="2:8" ht="15" x14ac:dyDescent="0.25">
      <c r="B1057" s="27"/>
      <c r="C1057" s="27"/>
      <c r="D1057" s="27"/>
      <c r="E1057" s="27"/>
      <c r="F1057" s="27"/>
      <c r="G1057" s="27"/>
      <c r="H1057" s="27"/>
    </row>
    <row r="1058" spans="2:8" ht="15" x14ac:dyDescent="0.25">
      <c r="B1058" s="27"/>
      <c r="C1058" s="27"/>
      <c r="D1058" s="27"/>
      <c r="E1058" s="27"/>
      <c r="F1058" s="27"/>
      <c r="G1058" s="27"/>
      <c r="H1058" s="27"/>
    </row>
    <row r="1059" spans="2:8" ht="15" x14ac:dyDescent="0.25">
      <c r="B1059" s="27"/>
      <c r="C1059" s="27"/>
      <c r="D1059" s="27"/>
      <c r="E1059" s="27"/>
      <c r="F1059" s="27"/>
      <c r="G1059" s="27"/>
      <c r="H1059" s="27"/>
    </row>
    <row r="1060" spans="2:8" ht="15" x14ac:dyDescent="0.25">
      <c r="B1060" s="27"/>
      <c r="C1060" s="27"/>
      <c r="D1060" s="27"/>
      <c r="E1060" s="27"/>
      <c r="F1060" s="27"/>
      <c r="G1060" s="27"/>
      <c r="H1060" s="27"/>
    </row>
    <row r="1061" spans="2:8" ht="15" x14ac:dyDescent="0.25">
      <c r="B1061" s="27"/>
      <c r="C1061" s="27"/>
      <c r="D1061" s="27"/>
      <c r="E1061" s="27"/>
      <c r="F1061" s="27"/>
      <c r="G1061" s="27"/>
      <c r="H1061" s="27"/>
    </row>
    <row r="1062" spans="2:8" ht="15" x14ac:dyDescent="0.25">
      <c r="B1062" s="27"/>
      <c r="C1062" s="27"/>
      <c r="D1062" s="27"/>
      <c r="E1062" s="27"/>
      <c r="F1062" s="27"/>
      <c r="G1062" s="27"/>
      <c r="H1062" s="27"/>
    </row>
    <row r="1063" spans="2:8" ht="15" x14ac:dyDescent="0.25">
      <c r="B1063" s="27"/>
      <c r="C1063" s="27"/>
      <c r="D1063" s="27"/>
      <c r="E1063" s="27"/>
      <c r="F1063" s="27"/>
      <c r="G1063" s="27"/>
      <c r="H1063" s="27"/>
    </row>
    <row r="1064" spans="2:8" ht="15" x14ac:dyDescent="0.25">
      <c r="B1064" s="27"/>
      <c r="C1064" s="27"/>
      <c r="D1064" s="27"/>
      <c r="E1064" s="27"/>
      <c r="F1064" s="27"/>
      <c r="G1064" s="27"/>
      <c r="H1064" s="27"/>
    </row>
    <row r="1065" spans="2:8" ht="15" x14ac:dyDescent="0.25">
      <c r="B1065" s="27"/>
      <c r="C1065" s="27"/>
      <c r="D1065" s="27"/>
      <c r="E1065" s="27"/>
      <c r="F1065" s="27"/>
      <c r="G1065" s="27"/>
      <c r="H1065" s="27"/>
    </row>
    <row r="1066" spans="2:8" ht="15" x14ac:dyDescent="0.25">
      <c r="B1066" s="27"/>
      <c r="C1066" s="27"/>
      <c r="D1066" s="27"/>
      <c r="E1066" s="27"/>
      <c r="F1066" s="27"/>
      <c r="G1066" s="27"/>
      <c r="H1066" s="27"/>
    </row>
    <row r="1067" spans="2:8" ht="15" x14ac:dyDescent="0.25">
      <c r="B1067" s="27"/>
      <c r="C1067" s="27"/>
      <c r="D1067" s="27"/>
      <c r="E1067" s="27"/>
      <c r="F1067" s="27"/>
      <c r="G1067" s="27"/>
      <c r="H1067" s="27"/>
    </row>
    <row r="1068" spans="2:8" ht="15" x14ac:dyDescent="0.25">
      <c r="B1068" s="27"/>
      <c r="C1068" s="27"/>
      <c r="D1068" s="27"/>
      <c r="E1068" s="27"/>
      <c r="F1068" s="27"/>
      <c r="G1068" s="27"/>
      <c r="H1068" s="27"/>
    </row>
    <row r="1069" spans="2:8" ht="15" x14ac:dyDescent="0.25">
      <c r="B1069" s="27"/>
      <c r="C1069" s="27"/>
      <c r="D1069" s="27"/>
      <c r="E1069" s="27"/>
      <c r="F1069" s="27"/>
      <c r="G1069" s="27"/>
      <c r="H1069" s="27"/>
    </row>
    <row r="1070" spans="2:8" ht="15" x14ac:dyDescent="0.25">
      <c r="B1070" s="27"/>
      <c r="C1070" s="27"/>
      <c r="D1070" s="27"/>
      <c r="E1070" s="27"/>
      <c r="F1070" s="27"/>
      <c r="G1070" s="27"/>
      <c r="H1070" s="27"/>
    </row>
    <row r="1071" spans="2:8" ht="15" x14ac:dyDescent="0.25">
      <c r="B1071" s="27"/>
      <c r="C1071" s="27"/>
      <c r="D1071" s="27"/>
      <c r="E1071" s="27"/>
      <c r="F1071" s="27"/>
      <c r="G1071" s="27"/>
      <c r="H1071" s="27"/>
    </row>
    <row r="1072" spans="2:8" ht="15" x14ac:dyDescent="0.25">
      <c r="B1072" s="27"/>
      <c r="C1072" s="27"/>
      <c r="D1072" s="27"/>
      <c r="E1072" s="27"/>
      <c r="F1072" s="27"/>
      <c r="G1072" s="27"/>
      <c r="H1072" s="27"/>
    </row>
    <row r="1073" spans="2:8" ht="15" x14ac:dyDescent="0.25">
      <c r="B1073" s="27"/>
      <c r="C1073" s="27"/>
      <c r="D1073" s="27"/>
      <c r="E1073" s="27"/>
      <c r="F1073" s="27"/>
      <c r="G1073" s="27"/>
      <c r="H1073" s="27"/>
    </row>
    <row r="1074" spans="2:8" ht="15" x14ac:dyDescent="0.25">
      <c r="B1074" s="27"/>
      <c r="C1074" s="27"/>
      <c r="D1074" s="27"/>
      <c r="E1074" s="27"/>
      <c r="F1074" s="27"/>
      <c r="G1074" s="27"/>
      <c r="H1074" s="27"/>
    </row>
    <row r="1075" spans="2:8" ht="15" x14ac:dyDescent="0.25">
      <c r="B1075" s="27"/>
      <c r="C1075" s="27"/>
      <c r="D1075" s="27"/>
      <c r="E1075" s="27"/>
      <c r="F1075" s="27"/>
      <c r="G1075" s="27"/>
      <c r="H1075" s="27"/>
    </row>
    <row r="1076" spans="2:8" ht="15" x14ac:dyDescent="0.25">
      <c r="B1076" s="27"/>
      <c r="C1076" s="27"/>
      <c r="D1076" s="27"/>
      <c r="E1076" s="27"/>
      <c r="F1076" s="27"/>
      <c r="G1076" s="27"/>
      <c r="H1076" s="27"/>
    </row>
    <row r="1077" spans="2:8" ht="15" x14ac:dyDescent="0.25">
      <c r="B1077" s="27"/>
      <c r="C1077" s="27"/>
      <c r="D1077" s="27"/>
      <c r="E1077" s="27"/>
      <c r="F1077" s="27"/>
      <c r="G1077" s="27"/>
      <c r="H1077" s="27"/>
    </row>
    <row r="1078" spans="2:8" ht="15" x14ac:dyDescent="0.25">
      <c r="B1078" s="27"/>
      <c r="C1078" s="27"/>
      <c r="D1078" s="27"/>
      <c r="E1078" s="27"/>
      <c r="F1078" s="27"/>
      <c r="G1078" s="27"/>
      <c r="H1078" s="27"/>
    </row>
    <row r="1079" spans="2:8" ht="15" x14ac:dyDescent="0.25">
      <c r="B1079" s="27"/>
      <c r="C1079" s="27"/>
      <c r="D1079" s="27"/>
      <c r="E1079" s="27"/>
      <c r="F1079" s="27"/>
      <c r="G1079" s="27"/>
      <c r="H1079" s="27"/>
    </row>
    <row r="1080" spans="2:8" ht="15" x14ac:dyDescent="0.25">
      <c r="B1080" s="27"/>
      <c r="C1080" s="27"/>
      <c r="D1080" s="27"/>
      <c r="E1080" s="27"/>
      <c r="F1080" s="27"/>
      <c r="G1080" s="27"/>
      <c r="H1080" s="27"/>
    </row>
    <row r="1081" spans="2:8" ht="15" x14ac:dyDescent="0.25">
      <c r="B1081" s="27"/>
      <c r="C1081" s="27"/>
      <c r="D1081" s="27"/>
      <c r="E1081" s="27"/>
      <c r="F1081" s="27"/>
      <c r="G1081" s="27"/>
      <c r="H1081" s="27"/>
    </row>
    <row r="1082" spans="2:8" ht="15" x14ac:dyDescent="0.25">
      <c r="B1082" s="27"/>
      <c r="C1082" s="27"/>
      <c r="D1082" s="27"/>
      <c r="E1082" s="27"/>
      <c r="F1082" s="27"/>
      <c r="G1082" s="27"/>
      <c r="H1082" s="27"/>
    </row>
    <row r="1083" spans="2:8" ht="15" x14ac:dyDescent="0.25">
      <c r="B1083" s="27"/>
      <c r="C1083" s="27"/>
      <c r="D1083" s="27"/>
      <c r="E1083" s="27"/>
      <c r="F1083" s="27"/>
      <c r="G1083" s="27"/>
      <c r="H1083" s="27"/>
    </row>
    <row r="1084" spans="2:8" ht="15" x14ac:dyDescent="0.25">
      <c r="B1084" s="27"/>
      <c r="C1084" s="27"/>
      <c r="D1084" s="27"/>
      <c r="E1084" s="27"/>
      <c r="F1084" s="27"/>
      <c r="G1084" s="27"/>
      <c r="H1084" s="27"/>
    </row>
    <row r="1085" spans="2:8" ht="15" x14ac:dyDescent="0.25">
      <c r="B1085" s="27"/>
      <c r="C1085" s="27"/>
      <c r="D1085" s="27"/>
      <c r="E1085" s="27"/>
      <c r="F1085" s="27"/>
      <c r="G1085" s="27"/>
      <c r="H1085" s="27"/>
    </row>
    <row r="1086" spans="2:8" ht="15" x14ac:dyDescent="0.25">
      <c r="B1086" s="27"/>
      <c r="C1086" s="27"/>
      <c r="D1086" s="27"/>
      <c r="E1086" s="27"/>
      <c r="F1086" s="27"/>
      <c r="G1086" s="27"/>
      <c r="H1086" s="27"/>
    </row>
    <row r="1087" spans="2:8" ht="15" x14ac:dyDescent="0.25">
      <c r="B1087" s="27"/>
      <c r="C1087" s="27"/>
      <c r="D1087" s="27"/>
      <c r="E1087" s="27"/>
      <c r="F1087" s="27"/>
      <c r="G1087" s="27"/>
      <c r="H1087" s="27"/>
    </row>
    <row r="1088" spans="2:8" ht="15" x14ac:dyDescent="0.25">
      <c r="B1088" s="27"/>
      <c r="C1088" s="27"/>
      <c r="D1088" s="27"/>
      <c r="E1088" s="27"/>
      <c r="F1088" s="27"/>
      <c r="G1088" s="27"/>
      <c r="H1088" s="27"/>
    </row>
    <row r="1089" spans="2:8" ht="15" x14ac:dyDescent="0.25">
      <c r="B1089" s="27"/>
      <c r="C1089" s="27"/>
      <c r="D1089" s="27"/>
      <c r="E1089" s="27"/>
      <c r="F1089" s="27"/>
      <c r="G1089" s="27"/>
      <c r="H1089" s="27"/>
    </row>
    <row r="1090" spans="2:8" ht="15" x14ac:dyDescent="0.25">
      <c r="B1090" s="27"/>
      <c r="C1090" s="27"/>
      <c r="D1090" s="27"/>
      <c r="E1090" s="27"/>
      <c r="F1090" s="27"/>
      <c r="G1090" s="27"/>
      <c r="H1090" s="27"/>
    </row>
    <row r="1091" spans="2:8" ht="15" x14ac:dyDescent="0.25">
      <c r="B1091" s="27"/>
      <c r="C1091" s="27"/>
      <c r="D1091" s="27"/>
      <c r="E1091" s="27"/>
      <c r="F1091" s="27"/>
      <c r="G1091" s="27"/>
      <c r="H1091" s="27"/>
    </row>
    <row r="1092" spans="2:8" ht="15" x14ac:dyDescent="0.25">
      <c r="B1092" s="27"/>
      <c r="C1092" s="27"/>
      <c r="D1092" s="27"/>
      <c r="E1092" s="27"/>
      <c r="F1092" s="27"/>
      <c r="G1092" s="27"/>
      <c r="H1092" s="27"/>
    </row>
    <row r="1093" spans="2:8" ht="15" x14ac:dyDescent="0.25">
      <c r="B1093" s="27"/>
      <c r="C1093" s="27"/>
      <c r="D1093" s="27"/>
      <c r="E1093" s="27"/>
      <c r="F1093" s="27"/>
      <c r="G1093" s="27"/>
      <c r="H1093" s="27"/>
    </row>
    <row r="1094" spans="2:8" ht="15" x14ac:dyDescent="0.25">
      <c r="B1094" s="27"/>
      <c r="C1094" s="27"/>
      <c r="D1094" s="27"/>
      <c r="E1094" s="27"/>
      <c r="F1094" s="27"/>
      <c r="G1094" s="27"/>
      <c r="H1094" s="27"/>
    </row>
    <row r="1095" spans="2:8" ht="15" x14ac:dyDescent="0.25">
      <c r="B1095" s="27"/>
      <c r="C1095" s="27"/>
      <c r="D1095" s="27"/>
      <c r="E1095" s="27"/>
      <c r="F1095" s="27"/>
      <c r="G1095" s="27"/>
      <c r="H1095" s="27"/>
    </row>
    <row r="1096" spans="2:8" ht="15" x14ac:dyDescent="0.25">
      <c r="B1096" s="27"/>
      <c r="C1096" s="27"/>
      <c r="D1096" s="27"/>
      <c r="E1096" s="27"/>
      <c r="F1096" s="27"/>
      <c r="G1096" s="27"/>
      <c r="H1096" s="27"/>
    </row>
    <row r="1097" spans="2:8" ht="15" x14ac:dyDescent="0.25">
      <c r="B1097" s="27"/>
      <c r="C1097" s="27"/>
      <c r="D1097" s="27"/>
      <c r="E1097" s="27"/>
      <c r="F1097" s="27"/>
      <c r="G1097" s="27"/>
      <c r="H1097" s="27"/>
    </row>
    <row r="1098" spans="2:8" ht="15" x14ac:dyDescent="0.25">
      <c r="B1098" s="27"/>
      <c r="C1098" s="27"/>
      <c r="D1098" s="27"/>
      <c r="E1098" s="27"/>
      <c r="F1098" s="27"/>
      <c r="G1098" s="27"/>
      <c r="H1098" s="27"/>
    </row>
    <row r="1099" spans="2:8" ht="15" x14ac:dyDescent="0.25">
      <c r="B1099" s="27"/>
      <c r="C1099" s="27"/>
      <c r="D1099" s="27"/>
      <c r="E1099" s="27"/>
      <c r="F1099" s="27"/>
      <c r="G1099" s="27"/>
      <c r="H1099" s="27"/>
    </row>
    <row r="1100" spans="2:8" ht="15" x14ac:dyDescent="0.25">
      <c r="B1100" s="27"/>
      <c r="C1100" s="27"/>
      <c r="D1100" s="27"/>
      <c r="E1100" s="27"/>
      <c r="F1100" s="27"/>
      <c r="G1100" s="27"/>
      <c r="H1100" s="27"/>
    </row>
    <row r="1101" spans="2:8" ht="15" x14ac:dyDescent="0.25">
      <c r="B1101" s="27"/>
      <c r="C1101" s="27"/>
      <c r="D1101" s="27"/>
      <c r="E1101" s="27"/>
      <c r="F1101" s="27"/>
      <c r="G1101" s="27"/>
      <c r="H1101" s="27"/>
    </row>
    <row r="1102" spans="2:8" ht="15" x14ac:dyDescent="0.25">
      <c r="B1102" s="27"/>
      <c r="C1102" s="27"/>
      <c r="D1102" s="27"/>
      <c r="E1102" s="27"/>
      <c r="F1102" s="27"/>
      <c r="G1102" s="27"/>
      <c r="H1102" s="27"/>
    </row>
    <row r="1103" spans="2:8" ht="15" x14ac:dyDescent="0.25">
      <c r="B1103" s="27"/>
      <c r="C1103" s="27"/>
      <c r="D1103" s="27"/>
      <c r="E1103" s="27"/>
      <c r="F1103" s="27"/>
      <c r="G1103" s="27"/>
      <c r="H1103" s="27"/>
    </row>
    <row r="1104" spans="2:8" ht="15" x14ac:dyDescent="0.25">
      <c r="B1104" s="27"/>
      <c r="C1104" s="27"/>
      <c r="D1104" s="27"/>
      <c r="E1104" s="27"/>
      <c r="F1104" s="27"/>
      <c r="G1104" s="27"/>
      <c r="H1104" s="27"/>
    </row>
    <row r="1105" spans="2:8" ht="15" x14ac:dyDescent="0.25">
      <c r="B1105" s="27"/>
      <c r="C1105" s="27"/>
      <c r="D1105" s="27"/>
      <c r="E1105" s="27"/>
      <c r="F1105" s="27"/>
      <c r="G1105" s="27"/>
      <c r="H1105" s="27"/>
    </row>
    <row r="1106" spans="2:8" ht="15" x14ac:dyDescent="0.25">
      <c r="B1106" s="27"/>
      <c r="C1106" s="27"/>
      <c r="D1106" s="27"/>
      <c r="E1106" s="27"/>
      <c r="F1106" s="27"/>
      <c r="G1106" s="27"/>
      <c r="H1106" s="27"/>
    </row>
    <row r="1107" spans="2:8" ht="15" x14ac:dyDescent="0.25">
      <c r="B1107" s="27"/>
      <c r="C1107" s="27"/>
      <c r="D1107" s="27"/>
      <c r="E1107" s="27"/>
      <c r="F1107" s="27"/>
      <c r="G1107" s="27"/>
      <c r="H1107" s="27"/>
    </row>
    <row r="1108" spans="2:8" ht="15" x14ac:dyDescent="0.25">
      <c r="B1108" s="27"/>
      <c r="C1108" s="27"/>
      <c r="D1108" s="27"/>
      <c r="E1108" s="27"/>
      <c r="F1108" s="27"/>
      <c r="G1108" s="27"/>
      <c r="H1108" s="27"/>
    </row>
    <row r="1109" spans="2:8" ht="15" x14ac:dyDescent="0.25">
      <c r="B1109" s="27"/>
      <c r="C1109" s="27"/>
      <c r="D1109" s="27"/>
      <c r="E1109" s="27"/>
      <c r="F1109" s="27"/>
      <c r="G1109" s="27"/>
      <c r="H1109" s="27"/>
    </row>
    <row r="1110" spans="2:8" ht="15" x14ac:dyDescent="0.25">
      <c r="B1110" s="27"/>
      <c r="C1110" s="27"/>
      <c r="D1110" s="27"/>
      <c r="E1110" s="27"/>
      <c r="F1110" s="27"/>
      <c r="G1110" s="27"/>
      <c r="H1110" s="27"/>
    </row>
    <row r="1111" spans="2:8" ht="15" x14ac:dyDescent="0.25">
      <c r="B1111" s="27"/>
      <c r="C1111" s="27"/>
      <c r="D1111" s="27"/>
      <c r="E1111" s="27"/>
      <c r="F1111" s="27"/>
      <c r="G1111" s="27"/>
      <c r="H1111" s="27"/>
    </row>
    <row r="1112" spans="2:8" ht="15" x14ac:dyDescent="0.25">
      <c r="B1112" s="27"/>
      <c r="C1112" s="27"/>
      <c r="D1112" s="27"/>
      <c r="E1112" s="27"/>
      <c r="F1112" s="27"/>
      <c r="G1112" s="27"/>
      <c r="H1112" s="27"/>
    </row>
    <row r="1113" spans="2:8" ht="15" x14ac:dyDescent="0.25">
      <c r="B1113" s="27"/>
      <c r="C1113" s="27"/>
      <c r="D1113" s="27"/>
      <c r="E1113" s="27"/>
      <c r="F1113" s="27"/>
      <c r="G1113" s="27"/>
      <c r="H1113" s="27"/>
    </row>
    <row r="1114" spans="2:8" ht="15" x14ac:dyDescent="0.25">
      <c r="B1114" s="27"/>
      <c r="C1114" s="27"/>
      <c r="D1114" s="27"/>
      <c r="E1114" s="27"/>
      <c r="F1114" s="27"/>
      <c r="G1114" s="27"/>
      <c r="H1114" s="27"/>
    </row>
    <row r="1115" spans="2:8" ht="15" x14ac:dyDescent="0.25">
      <c r="B1115" s="27"/>
      <c r="C1115" s="27"/>
      <c r="D1115" s="27"/>
      <c r="E1115" s="27"/>
      <c r="F1115" s="27"/>
      <c r="G1115" s="27"/>
      <c r="H1115" s="27"/>
    </row>
    <row r="1116" spans="2:8" ht="15" x14ac:dyDescent="0.25">
      <c r="B1116" s="27"/>
      <c r="C1116" s="27"/>
      <c r="D1116" s="27"/>
      <c r="E1116" s="27"/>
      <c r="F1116" s="27"/>
      <c r="G1116" s="27"/>
      <c r="H1116" s="27"/>
    </row>
    <row r="1117" spans="2:8" ht="15" x14ac:dyDescent="0.25">
      <c r="B1117" s="27"/>
      <c r="C1117" s="27"/>
      <c r="D1117" s="27"/>
      <c r="E1117" s="27"/>
      <c r="F1117" s="27"/>
      <c r="G1117" s="27"/>
      <c r="H1117" s="27"/>
    </row>
    <row r="1118" spans="2:8" ht="15" x14ac:dyDescent="0.25">
      <c r="B1118" s="27"/>
      <c r="C1118" s="27"/>
      <c r="D1118" s="27"/>
      <c r="E1118" s="27"/>
      <c r="F1118" s="27"/>
      <c r="G1118" s="27"/>
      <c r="H1118" s="27"/>
    </row>
    <row r="1119" spans="2:8" ht="15" x14ac:dyDescent="0.25">
      <c r="B1119" s="27"/>
      <c r="C1119" s="27"/>
      <c r="D1119" s="27"/>
      <c r="E1119" s="27"/>
      <c r="F1119" s="27"/>
      <c r="G1119" s="27"/>
      <c r="H1119" s="27"/>
    </row>
    <row r="1120" spans="2:8" ht="15" x14ac:dyDescent="0.25">
      <c r="B1120" s="27"/>
      <c r="C1120" s="27"/>
      <c r="D1120" s="27"/>
      <c r="E1120" s="27"/>
      <c r="F1120" s="27"/>
      <c r="G1120" s="27"/>
      <c r="H1120" s="27"/>
    </row>
    <row r="1121" spans="2:8" ht="15" x14ac:dyDescent="0.25">
      <c r="B1121" s="27"/>
      <c r="C1121" s="27"/>
      <c r="D1121" s="27"/>
      <c r="E1121" s="27"/>
      <c r="F1121" s="27"/>
      <c r="G1121" s="27"/>
      <c r="H1121" s="27"/>
    </row>
    <row r="1122" spans="2:8" ht="15" x14ac:dyDescent="0.25">
      <c r="B1122" s="27"/>
      <c r="C1122" s="27"/>
      <c r="D1122" s="27"/>
      <c r="E1122" s="27"/>
      <c r="F1122" s="27"/>
      <c r="G1122" s="27"/>
      <c r="H1122" s="27"/>
    </row>
    <row r="1123" spans="2:8" ht="15" x14ac:dyDescent="0.25">
      <c r="B1123" s="27"/>
      <c r="C1123" s="27"/>
      <c r="D1123" s="27"/>
      <c r="E1123" s="27"/>
      <c r="F1123" s="27"/>
      <c r="G1123" s="27"/>
      <c r="H1123" s="27"/>
    </row>
    <row r="1124" spans="2:8" ht="15" x14ac:dyDescent="0.25">
      <c r="B1124" s="27"/>
      <c r="C1124" s="27"/>
      <c r="D1124" s="27"/>
      <c r="E1124" s="27"/>
      <c r="F1124" s="27"/>
      <c r="G1124" s="27"/>
      <c r="H1124" s="27"/>
    </row>
    <row r="1125" spans="2:8" ht="15" x14ac:dyDescent="0.25">
      <c r="B1125" s="27"/>
      <c r="C1125" s="27"/>
      <c r="D1125" s="27"/>
      <c r="E1125" s="27"/>
      <c r="F1125" s="27"/>
      <c r="G1125" s="27"/>
      <c r="H1125" s="27"/>
    </row>
    <row r="1126" spans="2:8" ht="15" x14ac:dyDescent="0.25">
      <c r="B1126" s="27"/>
      <c r="C1126" s="27"/>
      <c r="D1126" s="27"/>
      <c r="E1126" s="27"/>
      <c r="F1126" s="27"/>
      <c r="G1126" s="27"/>
      <c r="H1126" s="27"/>
    </row>
    <row r="1127" spans="2:8" ht="15" x14ac:dyDescent="0.25">
      <c r="B1127" s="27"/>
      <c r="C1127" s="27"/>
      <c r="D1127" s="27"/>
      <c r="E1127" s="27"/>
      <c r="F1127" s="27"/>
      <c r="G1127" s="27"/>
      <c r="H1127" s="27"/>
    </row>
    <row r="1128" spans="2:8" ht="15" x14ac:dyDescent="0.25">
      <c r="B1128" s="27"/>
      <c r="C1128" s="27"/>
      <c r="D1128" s="27"/>
      <c r="E1128" s="27"/>
      <c r="F1128" s="27"/>
      <c r="G1128" s="27"/>
      <c r="H1128" s="27"/>
    </row>
    <row r="1129" spans="2:8" ht="15" x14ac:dyDescent="0.25">
      <c r="B1129" s="27"/>
      <c r="C1129" s="27"/>
      <c r="D1129" s="27"/>
      <c r="E1129" s="27"/>
      <c r="F1129" s="27"/>
      <c r="G1129" s="27"/>
      <c r="H1129" s="27"/>
    </row>
    <row r="1130" spans="2:8" ht="15" x14ac:dyDescent="0.25">
      <c r="B1130" s="27"/>
      <c r="C1130" s="27"/>
      <c r="D1130" s="27"/>
      <c r="E1130" s="27"/>
      <c r="F1130" s="27"/>
      <c r="G1130" s="27"/>
      <c r="H1130" s="27"/>
    </row>
    <row r="1131" spans="2:8" ht="15" x14ac:dyDescent="0.25">
      <c r="B1131" s="27"/>
      <c r="C1131" s="27"/>
      <c r="D1131" s="27"/>
      <c r="E1131" s="27"/>
      <c r="F1131" s="27"/>
      <c r="G1131" s="27"/>
      <c r="H1131" s="27"/>
    </row>
    <row r="1132" spans="2:8" ht="15" x14ac:dyDescent="0.25">
      <c r="B1132" s="27"/>
      <c r="C1132" s="27"/>
      <c r="D1132" s="27"/>
      <c r="E1132" s="27"/>
      <c r="F1132" s="27"/>
      <c r="G1132" s="27"/>
      <c r="H1132" s="27"/>
    </row>
    <row r="1133" spans="2:8" ht="15" x14ac:dyDescent="0.25">
      <c r="B1133" s="27"/>
      <c r="C1133" s="27"/>
      <c r="D1133" s="27"/>
      <c r="E1133" s="27"/>
      <c r="F1133" s="27"/>
      <c r="G1133" s="27"/>
      <c r="H1133" s="27"/>
    </row>
    <row r="1134" spans="2:8" ht="15" x14ac:dyDescent="0.25">
      <c r="B1134" s="27"/>
      <c r="C1134" s="27"/>
      <c r="D1134" s="27"/>
      <c r="E1134" s="27"/>
      <c r="F1134" s="27"/>
      <c r="G1134" s="27"/>
      <c r="H1134" s="27"/>
    </row>
    <row r="1135" spans="2:8" ht="15" x14ac:dyDescent="0.25">
      <c r="B1135" s="27"/>
      <c r="C1135" s="27"/>
      <c r="D1135" s="27"/>
      <c r="E1135" s="27"/>
      <c r="F1135" s="27"/>
      <c r="G1135" s="27"/>
      <c r="H1135" s="27"/>
    </row>
    <row r="1136" spans="2:8" ht="15" x14ac:dyDescent="0.25">
      <c r="B1136" s="27"/>
      <c r="C1136" s="27"/>
      <c r="D1136" s="27"/>
      <c r="E1136" s="27"/>
      <c r="F1136" s="27"/>
      <c r="G1136" s="27"/>
      <c r="H1136" s="27"/>
    </row>
    <row r="1137" spans="2:8" ht="15" x14ac:dyDescent="0.25">
      <c r="B1137" s="27"/>
      <c r="C1137" s="27"/>
      <c r="D1137" s="27"/>
      <c r="E1137" s="27"/>
      <c r="F1137" s="27"/>
      <c r="G1137" s="27"/>
      <c r="H1137" s="27"/>
    </row>
    <row r="1138" spans="2:8" ht="15" x14ac:dyDescent="0.25">
      <c r="B1138" s="27"/>
      <c r="C1138" s="27"/>
      <c r="D1138" s="27"/>
      <c r="E1138" s="27"/>
      <c r="F1138" s="27"/>
      <c r="G1138" s="27"/>
      <c r="H1138" s="27"/>
    </row>
    <row r="1139" spans="2:8" ht="15" x14ac:dyDescent="0.25">
      <c r="B1139" s="27"/>
      <c r="C1139" s="27"/>
      <c r="D1139" s="27"/>
      <c r="E1139" s="27"/>
      <c r="F1139" s="27"/>
      <c r="G1139" s="27"/>
      <c r="H1139" s="27"/>
    </row>
    <row r="1140" spans="2:8" ht="15" x14ac:dyDescent="0.25">
      <c r="B1140" s="27"/>
      <c r="C1140" s="27"/>
      <c r="D1140" s="27"/>
      <c r="E1140" s="27"/>
      <c r="F1140" s="27"/>
      <c r="G1140" s="27"/>
      <c r="H1140" s="27"/>
    </row>
    <row r="1141" spans="2:8" ht="15" x14ac:dyDescent="0.25">
      <c r="B1141" s="27"/>
      <c r="C1141" s="27"/>
      <c r="D1141" s="27"/>
      <c r="E1141" s="27"/>
      <c r="F1141" s="27"/>
      <c r="G1141" s="27"/>
      <c r="H1141" s="27"/>
    </row>
    <row r="1142" spans="2:8" ht="15" x14ac:dyDescent="0.25">
      <c r="B1142" s="27"/>
      <c r="C1142" s="27"/>
      <c r="D1142" s="27"/>
      <c r="E1142" s="27"/>
      <c r="F1142" s="27"/>
      <c r="G1142" s="27"/>
      <c r="H1142" s="27"/>
    </row>
    <row r="1143" spans="2:8" ht="15" x14ac:dyDescent="0.25">
      <c r="B1143" s="27"/>
      <c r="C1143" s="27"/>
      <c r="D1143" s="27"/>
      <c r="E1143" s="27"/>
      <c r="F1143" s="27"/>
      <c r="G1143" s="27"/>
      <c r="H1143" s="27"/>
    </row>
    <row r="1144" spans="2:8" ht="15" x14ac:dyDescent="0.25">
      <c r="B1144" s="27"/>
      <c r="C1144" s="27"/>
      <c r="D1144" s="27"/>
      <c r="E1144" s="27"/>
      <c r="F1144" s="27"/>
      <c r="G1144" s="27"/>
      <c r="H1144" s="27"/>
    </row>
    <row r="1145" spans="2:8" ht="15" x14ac:dyDescent="0.25">
      <c r="B1145" s="27"/>
      <c r="C1145" s="27"/>
      <c r="D1145" s="27"/>
      <c r="E1145" s="27"/>
      <c r="F1145" s="27"/>
      <c r="G1145" s="27"/>
      <c r="H1145" s="27"/>
    </row>
    <row r="1146" spans="2:8" ht="15" x14ac:dyDescent="0.25">
      <c r="B1146" s="27"/>
      <c r="C1146" s="27"/>
      <c r="D1146" s="27"/>
      <c r="E1146" s="27"/>
      <c r="F1146" s="27"/>
      <c r="G1146" s="27"/>
      <c r="H1146" s="27"/>
    </row>
    <row r="1147" spans="2:8" ht="15" x14ac:dyDescent="0.25">
      <c r="B1147" s="27"/>
      <c r="C1147" s="27"/>
      <c r="D1147" s="27"/>
      <c r="E1147" s="27"/>
      <c r="F1147" s="27"/>
      <c r="G1147" s="27"/>
      <c r="H1147" s="27"/>
    </row>
    <row r="1148" spans="2:8" ht="15" x14ac:dyDescent="0.25">
      <c r="B1148" s="27"/>
      <c r="C1148" s="27"/>
      <c r="D1148" s="27"/>
      <c r="E1148" s="27"/>
      <c r="F1148" s="27"/>
      <c r="G1148" s="27"/>
      <c r="H1148" s="27"/>
    </row>
    <row r="1149" spans="2:8" ht="15" x14ac:dyDescent="0.25">
      <c r="B1149" s="27"/>
      <c r="C1149" s="27"/>
      <c r="D1149" s="27"/>
      <c r="E1149" s="27"/>
      <c r="F1149" s="27"/>
      <c r="G1149" s="27"/>
      <c r="H1149" s="27"/>
    </row>
    <row r="1150" spans="2:8" ht="15" x14ac:dyDescent="0.25">
      <c r="B1150" s="27"/>
      <c r="C1150" s="27"/>
      <c r="D1150" s="27"/>
      <c r="E1150" s="27"/>
      <c r="F1150" s="27"/>
      <c r="G1150" s="27"/>
      <c r="H1150" s="27"/>
    </row>
    <row r="1151" spans="2:8" ht="15" x14ac:dyDescent="0.25">
      <c r="B1151" s="27"/>
      <c r="C1151" s="27"/>
      <c r="D1151" s="27"/>
      <c r="E1151" s="27"/>
      <c r="F1151" s="27"/>
      <c r="G1151" s="27"/>
      <c r="H1151" s="27"/>
    </row>
    <row r="1152" spans="2:8" ht="15" x14ac:dyDescent="0.25">
      <c r="B1152" s="27"/>
      <c r="C1152" s="27"/>
      <c r="D1152" s="27"/>
      <c r="E1152" s="27"/>
      <c r="F1152" s="27"/>
      <c r="G1152" s="27"/>
      <c r="H1152" s="27"/>
    </row>
    <row r="1153" spans="2:8" ht="15" x14ac:dyDescent="0.25">
      <c r="B1153" s="27"/>
      <c r="C1153" s="27"/>
      <c r="D1153" s="27"/>
      <c r="E1153" s="27"/>
      <c r="F1153" s="27"/>
      <c r="G1153" s="27"/>
      <c r="H1153" s="27"/>
    </row>
    <row r="1154" spans="2:8" ht="15" x14ac:dyDescent="0.25">
      <c r="B1154" s="27"/>
      <c r="C1154" s="27"/>
      <c r="D1154" s="27"/>
      <c r="E1154" s="27"/>
      <c r="F1154" s="27"/>
      <c r="G1154" s="27"/>
      <c r="H1154" s="27"/>
    </row>
    <row r="1155" spans="2:8" ht="15" x14ac:dyDescent="0.25">
      <c r="B1155" s="27"/>
      <c r="C1155" s="27"/>
      <c r="D1155" s="27"/>
      <c r="E1155" s="27"/>
      <c r="F1155" s="27"/>
      <c r="G1155" s="27"/>
      <c r="H1155" s="27"/>
    </row>
    <row r="1156" spans="2:8" ht="15" x14ac:dyDescent="0.25">
      <c r="B1156" s="27"/>
      <c r="C1156" s="27"/>
      <c r="D1156" s="27"/>
      <c r="E1156" s="27"/>
      <c r="F1156" s="27"/>
      <c r="G1156" s="27"/>
      <c r="H1156" s="27"/>
    </row>
    <row r="1157" spans="2:8" ht="15" x14ac:dyDescent="0.25">
      <c r="B1157" s="27"/>
      <c r="C1157" s="27"/>
      <c r="D1157" s="27"/>
      <c r="E1157" s="27"/>
      <c r="F1157" s="27"/>
      <c r="G1157" s="27"/>
      <c r="H1157" s="27"/>
    </row>
    <row r="1158" spans="2:8" ht="15" x14ac:dyDescent="0.25">
      <c r="B1158" s="27"/>
      <c r="C1158" s="27"/>
      <c r="D1158" s="27"/>
      <c r="E1158" s="27"/>
      <c r="F1158" s="27"/>
      <c r="G1158" s="27"/>
      <c r="H1158" s="27"/>
    </row>
    <row r="1159" spans="2:8" ht="15" x14ac:dyDescent="0.25">
      <c r="B1159" s="27"/>
      <c r="C1159" s="27"/>
      <c r="D1159" s="27"/>
      <c r="E1159" s="27"/>
      <c r="F1159" s="27"/>
      <c r="G1159" s="27"/>
      <c r="H1159" s="27"/>
    </row>
    <row r="1160" spans="2:8" ht="15" x14ac:dyDescent="0.25">
      <c r="B1160" s="27"/>
      <c r="C1160" s="27"/>
      <c r="D1160" s="27"/>
      <c r="E1160" s="27"/>
      <c r="F1160" s="27"/>
      <c r="G1160" s="27"/>
      <c r="H1160" s="27"/>
    </row>
    <row r="1161" spans="2:8" ht="15" x14ac:dyDescent="0.25">
      <c r="B1161" s="27"/>
      <c r="C1161" s="27"/>
      <c r="D1161" s="27"/>
      <c r="E1161" s="27"/>
      <c r="F1161" s="27"/>
      <c r="G1161" s="27"/>
      <c r="H1161" s="27"/>
    </row>
    <row r="1162" spans="2:8" ht="15" x14ac:dyDescent="0.25">
      <c r="B1162" s="27"/>
      <c r="C1162" s="27"/>
      <c r="D1162" s="27"/>
      <c r="E1162" s="27"/>
      <c r="F1162" s="27"/>
      <c r="G1162" s="27"/>
      <c r="H1162" s="27"/>
    </row>
    <row r="1163" spans="2:8" ht="15" x14ac:dyDescent="0.25">
      <c r="B1163" s="27"/>
      <c r="C1163" s="27"/>
      <c r="D1163" s="27"/>
      <c r="E1163" s="27"/>
      <c r="F1163" s="27"/>
      <c r="G1163" s="27"/>
      <c r="H1163" s="27"/>
    </row>
    <row r="1164" spans="2:8" ht="15" x14ac:dyDescent="0.25">
      <c r="B1164" s="27"/>
      <c r="C1164" s="27"/>
      <c r="D1164" s="27"/>
      <c r="E1164" s="27"/>
      <c r="F1164" s="27"/>
      <c r="G1164" s="27"/>
      <c r="H1164" s="27"/>
    </row>
    <row r="1165" spans="2:8" ht="15" x14ac:dyDescent="0.25">
      <c r="B1165" s="27"/>
      <c r="C1165" s="27"/>
      <c r="D1165" s="27"/>
      <c r="E1165" s="27"/>
      <c r="F1165" s="27"/>
      <c r="G1165" s="27"/>
      <c r="H1165" s="27"/>
    </row>
    <row r="1166" spans="2:8" ht="15" x14ac:dyDescent="0.25">
      <c r="B1166" s="27"/>
      <c r="C1166" s="27"/>
      <c r="D1166" s="27"/>
      <c r="E1166" s="27"/>
      <c r="F1166" s="27"/>
      <c r="G1166" s="27"/>
      <c r="H1166" s="27"/>
    </row>
    <row r="1167" spans="2:8" ht="15" x14ac:dyDescent="0.25">
      <c r="B1167" s="27"/>
      <c r="C1167" s="27"/>
      <c r="D1167" s="27"/>
      <c r="E1167" s="27"/>
      <c r="F1167" s="27"/>
      <c r="G1167" s="27"/>
      <c r="H1167" s="27"/>
    </row>
    <row r="1168" spans="2:8" ht="15" x14ac:dyDescent="0.25">
      <c r="B1168" s="27"/>
      <c r="C1168" s="27"/>
      <c r="D1168" s="27"/>
      <c r="E1168" s="27"/>
      <c r="F1168" s="27"/>
      <c r="G1168" s="27"/>
      <c r="H1168" s="27"/>
    </row>
    <row r="1169" spans="2:8" ht="15" x14ac:dyDescent="0.25">
      <c r="B1169" s="27"/>
      <c r="C1169" s="27"/>
      <c r="D1169" s="27"/>
      <c r="E1169" s="27"/>
      <c r="F1169" s="27"/>
      <c r="G1169" s="27"/>
      <c r="H1169" s="27"/>
    </row>
    <row r="1170" spans="2:8" ht="15" x14ac:dyDescent="0.25">
      <c r="B1170" s="27"/>
      <c r="C1170" s="27"/>
      <c r="D1170" s="27"/>
      <c r="E1170" s="27"/>
      <c r="F1170" s="27"/>
      <c r="G1170" s="27"/>
      <c r="H1170" s="27"/>
    </row>
    <row r="1171" spans="2:8" ht="15" x14ac:dyDescent="0.25">
      <c r="B1171" s="27"/>
      <c r="C1171" s="27"/>
      <c r="D1171" s="27"/>
      <c r="E1171" s="27"/>
      <c r="F1171" s="27"/>
      <c r="G1171" s="27"/>
      <c r="H1171" s="27"/>
    </row>
    <row r="1172" spans="2:8" ht="15" x14ac:dyDescent="0.25">
      <c r="B1172" s="27"/>
      <c r="C1172" s="27"/>
      <c r="D1172" s="27"/>
      <c r="E1172" s="27"/>
      <c r="F1172" s="27"/>
      <c r="G1172" s="27"/>
      <c r="H1172" s="27"/>
    </row>
    <row r="1173" spans="2:8" ht="15" x14ac:dyDescent="0.25">
      <c r="B1173" s="27"/>
      <c r="C1173" s="27"/>
      <c r="D1173" s="27"/>
      <c r="E1173" s="27"/>
      <c r="F1173" s="27"/>
      <c r="G1173" s="27"/>
      <c r="H1173" s="27"/>
    </row>
    <row r="1174" spans="2:8" ht="15" x14ac:dyDescent="0.25">
      <c r="B1174" s="27"/>
      <c r="C1174" s="27"/>
      <c r="D1174" s="27"/>
      <c r="E1174" s="27"/>
      <c r="F1174" s="27"/>
      <c r="G1174" s="27"/>
      <c r="H1174" s="27"/>
    </row>
    <row r="1175" spans="2:8" ht="15" x14ac:dyDescent="0.25">
      <c r="B1175" s="27"/>
      <c r="C1175" s="27"/>
      <c r="D1175" s="27"/>
      <c r="E1175" s="27"/>
      <c r="F1175" s="27"/>
      <c r="G1175" s="27"/>
      <c r="H1175" s="27"/>
    </row>
    <row r="1176" spans="2:8" ht="15" x14ac:dyDescent="0.25">
      <c r="B1176" s="27"/>
      <c r="C1176" s="27"/>
      <c r="D1176" s="27"/>
      <c r="E1176" s="27"/>
      <c r="F1176" s="27"/>
      <c r="G1176" s="27"/>
      <c r="H1176" s="27"/>
    </row>
    <row r="1177" spans="2:8" ht="15" x14ac:dyDescent="0.25">
      <c r="B1177" s="27"/>
      <c r="C1177" s="27"/>
      <c r="D1177" s="27"/>
      <c r="E1177" s="27"/>
      <c r="F1177" s="27"/>
      <c r="G1177" s="27"/>
      <c r="H1177" s="27"/>
    </row>
    <row r="1178" spans="2:8" ht="15" x14ac:dyDescent="0.25">
      <c r="B1178" s="27"/>
      <c r="C1178" s="27"/>
      <c r="D1178" s="27"/>
      <c r="E1178" s="27"/>
      <c r="F1178" s="27"/>
      <c r="G1178" s="27"/>
      <c r="H1178" s="27"/>
    </row>
    <row r="1179" spans="2:8" ht="15" x14ac:dyDescent="0.25">
      <c r="B1179" s="27"/>
      <c r="C1179" s="27"/>
      <c r="D1179" s="27"/>
      <c r="E1179" s="27"/>
      <c r="F1179" s="27"/>
      <c r="G1179" s="27"/>
      <c r="H1179" s="27"/>
    </row>
    <row r="1180" spans="2:8" ht="15" x14ac:dyDescent="0.25">
      <c r="B1180" s="27"/>
      <c r="C1180" s="27"/>
      <c r="D1180" s="27"/>
      <c r="E1180" s="27"/>
      <c r="F1180" s="27"/>
      <c r="G1180" s="27"/>
      <c r="H1180" s="27"/>
    </row>
    <row r="1181" spans="2:8" ht="15" x14ac:dyDescent="0.25">
      <c r="B1181" s="27"/>
      <c r="C1181" s="27"/>
      <c r="D1181" s="27"/>
      <c r="E1181" s="27"/>
      <c r="F1181" s="27"/>
      <c r="G1181" s="27"/>
      <c r="H1181" s="27"/>
    </row>
    <row r="1182" spans="2:8" ht="15" x14ac:dyDescent="0.25">
      <c r="B1182" s="27"/>
      <c r="C1182" s="27"/>
      <c r="D1182" s="27"/>
      <c r="E1182" s="27"/>
      <c r="F1182" s="27"/>
      <c r="G1182" s="27"/>
      <c r="H1182" s="27"/>
    </row>
    <row r="1183" spans="2:8" ht="15" x14ac:dyDescent="0.25">
      <c r="B1183" s="27"/>
      <c r="C1183" s="27"/>
      <c r="D1183" s="27"/>
      <c r="E1183" s="27"/>
      <c r="F1183" s="27"/>
      <c r="G1183" s="27"/>
      <c r="H1183" s="27"/>
    </row>
    <row r="1184" spans="2:8" ht="15" x14ac:dyDescent="0.25">
      <c r="B1184" s="27"/>
      <c r="C1184" s="27"/>
      <c r="D1184" s="27"/>
      <c r="E1184" s="27"/>
      <c r="F1184" s="27"/>
      <c r="G1184" s="27"/>
      <c r="H1184" s="27"/>
    </row>
    <row r="1185" spans="2:8" ht="15" x14ac:dyDescent="0.25">
      <c r="B1185" s="27"/>
      <c r="C1185" s="27"/>
      <c r="D1185" s="27"/>
      <c r="E1185" s="27"/>
      <c r="F1185" s="27"/>
      <c r="G1185" s="27"/>
      <c r="H1185" s="27"/>
    </row>
    <row r="1186" spans="2:8" ht="15" x14ac:dyDescent="0.25">
      <c r="B1186" s="27"/>
      <c r="C1186" s="27"/>
      <c r="D1186" s="27"/>
      <c r="E1186" s="27"/>
      <c r="F1186" s="27"/>
      <c r="G1186" s="27"/>
      <c r="H1186" s="27"/>
    </row>
    <row r="1187" spans="2:8" ht="15" x14ac:dyDescent="0.25">
      <c r="B1187" s="27"/>
      <c r="C1187" s="27"/>
      <c r="D1187" s="27"/>
      <c r="E1187" s="27"/>
      <c r="F1187" s="27"/>
      <c r="G1187" s="27"/>
      <c r="H1187" s="27"/>
    </row>
    <row r="1188" spans="2:8" ht="15" x14ac:dyDescent="0.25">
      <c r="B1188" s="27"/>
      <c r="C1188" s="27"/>
      <c r="D1188" s="27"/>
      <c r="E1188" s="27"/>
      <c r="F1188" s="27"/>
      <c r="G1188" s="27"/>
      <c r="H1188" s="27"/>
    </row>
    <row r="1189" spans="2:8" ht="15" x14ac:dyDescent="0.25">
      <c r="B1189" s="27"/>
      <c r="C1189" s="27"/>
      <c r="D1189" s="27"/>
      <c r="E1189" s="27"/>
      <c r="F1189" s="27"/>
      <c r="G1189" s="27"/>
      <c r="H1189" s="27"/>
    </row>
    <row r="1190" spans="2:8" ht="15" x14ac:dyDescent="0.25">
      <c r="B1190" s="27"/>
      <c r="C1190" s="27"/>
      <c r="D1190" s="27"/>
      <c r="E1190" s="27"/>
      <c r="F1190" s="27"/>
      <c r="G1190" s="27"/>
      <c r="H1190" s="27"/>
    </row>
    <row r="1191" spans="2:8" ht="15" x14ac:dyDescent="0.25">
      <c r="B1191" s="27"/>
      <c r="C1191" s="27"/>
      <c r="D1191" s="27"/>
      <c r="E1191" s="27"/>
      <c r="F1191" s="27"/>
      <c r="G1191" s="27"/>
      <c r="H1191" s="27"/>
    </row>
    <row r="1192" spans="2:8" ht="15" x14ac:dyDescent="0.25">
      <c r="B1192" s="27"/>
      <c r="C1192" s="27"/>
      <c r="D1192" s="27"/>
      <c r="E1192" s="27"/>
      <c r="F1192" s="27"/>
      <c r="G1192" s="27"/>
      <c r="H1192" s="27"/>
    </row>
    <row r="1193" spans="2:8" ht="15" x14ac:dyDescent="0.25">
      <c r="B1193" s="27"/>
      <c r="C1193" s="27"/>
      <c r="D1193" s="27"/>
      <c r="E1193" s="27"/>
      <c r="F1193" s="27"/>
      <c r="G1193" s="27"/>
      <c r="H1193" s="27"/>
    </row>
    <row r="1194" spans="2:8" ht="15" x14ac:dyDescent="0.25">
      <c r="B1194" s="27"/>
      <c r="C1194" s="27"/>
      <c r="D1194" s="27"/>
      <c r="E1194" s="27"/>
      <c r="F1194" s="27"/>
      <c r="G1194" s="27"/>
      <c r="H1194" s="27"/>
    </row>
    <row r="1195" spans="2:8" ht="15" x14ac:dyDescent="0.25">
      <c r="B1195" s="27"/>
      <c r="C1195" s="27"/>
      <c r="D1195" s="27"/>
      <c r="E1195" s="27"/>
      <c r="F1195" s="27"/>
      <c r="G1195" s="27"/>
      <c r="H1195" s="27"/>
    </row>
    <row r="1196" spans="2:8" ht="15" x14ac:dyDescent="0.25">
      <c r="B1196" s="27"/>
      <c r="C1196" s="27"/>
      <c r="D1196" s="27"/>
      <c r="E1196" s="27"/>
      <c r="F1196" s="27"/>
      <c r="G1196" s="27"/>
      <c r="H1196" s="27"/>
    </row>
    <row r="1197" spans="2:8" ht="15" x14ac:dyDescent="0.25">
      <c r="B1197" s="27"/>
      <c r="C1197" s="27"/>
      <c r="D1197" s="27"/>
      <c r="E1197" s="27"/>
      <c r="F1197" s="27"/>
      <c r="G1197" s="27"/>
      <c r="H1197" s="27"/>
    </row>
    <row r="1198" spans="2:8" ht="15" x14ac:dyDescent="0.25">
      <c r="B1198" s="27"/>
      <c r="C1198" s="27"/>
      <c r="D1198" s="27"/>
      <c r="E1198" s="27"/>
      <c r="F1198" s="27"/>
      <c r="G1198" s="27"/>
      <c r="H1198" s="27"/>
    </row>
    <row r="1199" spans="2:8" ht="15" x14ac:dyDescent="0.25">
      <c r="B1199" s="27"/>
      <c r="C1199" s="27"/>
      <c r="D1199" s="27"/>
      <c r="E1199" s="27"/>
      <c r="F1199" s="27"/>
      <c r="G1199" s="27"/>
      <c r="H1199" s="27"/>
    </row>
    <row r="1200" spans="2:8" ht="15" x14ac:dyDescent="0.25">
      <c r="B1200" s="27"/>
      <c r="C1200" s="27"/>
      <c r="D1200" s="27"/>
      <c r="E1200" s="27"/>
      <c r="F1200" s="27"/>
      <c r="G1200" s="27"/>
      <c r="H1200" s="27"/>
    </row>
    <row r="1201" spans="2:8" ht="15" x14ac:dyDescent="0.25">
      <c r="B1201" s="27"/>
      <c r="C1201" s="27"/>
      <c r="D1201" s="27"/>
      <c r="E1201" s="27"/>
      <c r="F1201" s="27"/>
      <c r="G1201" s="27"/>
      <c r="H1201" s="27"/>
    </row>
    <row r="1202" spans="2:8" ht="15" x14ac:dyDescent="0.25">
      <c r="B1202" s="27"/>
      <c r="C1202" s="27"/>
      <c r="D1202" s="27"/>
      <c r="E1202" s="27"/>
      <c r="F1202" s="27"/>
      <c r="G1202" s="27"/>
      <c r="H1202" s="27"/>
    </row>
    <row r="1203" spans="2:8" ht="15" x14ac:dyDescent="0.25">
      <c r="B1203" s="27"/>
      <c r="C1203" s="27"/>
      <c r="D1203" s="27"/>
      <c r="E1203" s="27"/>
      <c r="F1203" s="27"/>
      <c r="G1203" s="27"/>
      <c r="H1203" s="27"/>
    </row>
    <row r="1204" spans="2:8" ht="15" x14ac:dyDescent="0.25">
      <c r="B1204" s="27"/>
      <c r="C1204" s="27"/>
      <c r="D1204" s="27"/>
      <c r="E1204" s="27"/>
      <c r="F1204" s="27"/>
      <c r="G1204" s="27"/>
      <c r="H1204" s="27"/>
    </row>
    <row r="1205" spans="2:8" ht="15" x14ac:dyDescent="0.25">
      <c r="B1205" s="27"/>
      <c r="C1205" s="27"/>
      <c r="D1205" s="27"/>
      <c r="E1205" s="27"/>
      <c r="F1205" s="27"/>
      <c r="G1205" s="27"/>
      <c r="H1205" s="27"/>
    </row>
    <row r="1206" spans="2:8" ht="15" x14ac:dyDescent="0.25">
      <c r="B1206" s="27"/>
      <c r="C1206" s="27"/>
      <c r="D1206" s="27"/>
      <c r="E1206" s="27"/>
      <c r="F1206" s="27"/>
      <c r="G1206" s="27"/>
      <c r="H1206" s="27"/>
    </row>
    <row r="1207" spans="2:8" ht="15" x14ac:dyDescent="0.25">
      <c r="B1207" s="27"/>
      <c r="C1207" s="27"/>
      <c r="D1207" s="27"/>
      <c r="E1207" s="27"/>
      <c r="F1207" s="27"/>
      <c r="G1207" s="27"/>
      <c r="H1207" s="27"/>
    </row>
    <row r="1208" spans="2:8" ht="15" x14ac:dyDescent="0.25">
      <c r="B1208" s="27"/>
      <c r="C1208" s="27"/>
      <c r="D1208" s="27"/>
      <c r="E1208" s="27"/>
      <c r="F1208" s="27"/>
      <c r="G1208" s="27"/>
      <c r="H1208" s="27"/>
    </row>
    <row r="1209" spans="2:8" ht="15" x14ac:dyDescent="0.25">
      <c r="B1209" s="27"/>
      <c r="C1209" s="27"/>
      <c r="D1209" s="27"/>
      <c r="E1209" s="27"/>
      <c r="F1209" s="27"/>
      <c r="G1209" s="27"/>
      <c r="H1209" s="27"/>
    </row>
    <row r="1210" spans="2:8" ht="15" x14ac:dyDescent="0.25">
      <c r="B1210" s="27"/>
      <c r="C1210" s="27"/>
      <c r="D1210" s="27"/>
      <c r="E1210" s="27"/>
      <c r="F1210" s="27"/>
      <c r="G1210" s="27"/>
      <c r="H1210" s="27"/>
    </row>
    <row r="1211" spans="2:8" ht="15" x14ac:dyDescent="0.25">
      <c r="B1211" s="27"/>
      <c r="C1211" s="27"/>
      <c r="D1211" s="27"/>
      <c r="E1211" s="27"/>
      <c r="F1211" s="27"/>
      <c r="G1211" s="27"/>
      <c r="H1211" s="27"/>
    </row>
    <row r="1212" spans="2:8" ht="15" x14ac:dyDescent="0.25">
      <c r="B1212" s="27"/>
      <c r="C1212" s="27"/>
      <c r="D1212" s="27"/>
      <c r="E1212" s="27"/>
      <c r="F1212" s="27"/>
      <c r="G1212" s="27"/>
      <c r="H1212" s="27"/>
    </row>
    <row r="1213" spans="2:8" ht="15" x14ac:dyDescent="0.25">
      <c r="B1213" s="27"/>
      <c r="C1213" s="27"/>
      <c r="D1213" s="27"/>
      <c r="E1213" s="27"/>
      <c r="F1213" s="27"/>
      <c r="G1213" s="27"/>
      <c r="H1213" s="27"/>
    </row>
    <row r="1214" spans="2:8" ht="15" x14ac:dyDescent="0.25">
      <c r="B1214" s="27"/>
      <c r="C1214" s="27"/>
      <c r="D1214" s="27"/>
      <c r="E1214" s="27"/>
      <c r="F1214" s="27"/>
      <c r="G1214" s="27"/>
      <c r="H1214" s="27"/>
    </row>
    <row r="1215" spans="2:8" ht="15" x14ac:dyDescent="0.25">
      <c r="B1215" s="27"/>
      <c r="C1215" s="27"/>
      <c r="D1215" s="27"/>
      <c r="E1215" s="27"/>
      <c r="F1215" s="27"/>
      <c r="G1215" s="27"/>
      <c r="H1215" s="27"/>
    </row>
    <row r="1216" spans="2:8" ht="15" x14ac:dyDescent="0.25">
      <c r="B1216" s="27"/>
      <c r="C1216" s="27"/>
      <c r="D1216" s="27"/>
      <c r="E1216" s="27"/>
      <c r="F1216" s="27"/>
      <c r="G1216" s="27"/>
      <c r="H1216" s="27"/>
    </row>
    <row r="1217" spans="2:8" ht="15" x14ac:dyDescent="0.25">
      <c r="B1217" s="27"/>
      <c r="C1217" s="27"/>
      <c r="D1217" s="27"/>
      <c r="E1217" s="27"/>
      <c r="F1217" s="27"/>
      <c r="G1217" s="27"/>
      <c r="H1217" s="27"/>
    </row>
    <row r="1218" spans="2:8" ht="15" x14ac:dyDescent="0.25">
      <c r="B1218" s="27"/>
      <c r="C1218" s="27"/>
      <c r="D1218" s="27"/>
      <c r="E1218" s="27"/>
      <c r="F1218" s="27"/>
      <c r="G1218" s="27"/>
      <c r="H1218" s="27"/>
    </row>
    <row r="1219" spans="2:8" ht="15" x14ac:dyDescent="0.25">
      <c r="B1219" s="27"/>
      <c r="C1219" s="27"/>
      <c r="D1219" s="27"/>
      <c r="E1219" s="27"/>
      <c r="F1219" s="27"/>
      <c r="G1219" s="27"/>
      <c r="H1219" s="27"/>
    </row>
    <row r="1220" spans="2:8" ht="15" x14ac:dyDescent="0.25">
      <c r="B1220" s="27"/>
      <c r="C1220" s="27"/>
      <c r="D1220" s="27"/>
      <c r="E1220" s="27"/>
      <c r="F1220" s="27"/>
      <c r="G1220" s="27"/>
      <c r="H1220" s="27"/>
    </row>
    <row r="1221" spans="2:8" ht="15" x14ac:dyDescent="0.25">
      <c r="B1221" s="27"/>
      <c r="C1221" s="27"/>
      <c r="D1221" s="27"/>
      <c r="E1221" s="27"/>
      <c r="F1221" s="27"/>
      <c r="G1221" s="27"/>
      <c r="H1221" s="27"/>
    </row>
    <row r="1222" spans="2:8" ht="15" x14ac:dyDescent="0.25">
      <c r="B1222" s="27"/>
      <c r="C1222" s="27"/>
      <c r="D1222" s="27"/>
      <c r="E1222" s="27"/>
      <c r="F1222" s="27"/>
      <c r="G1222" s="27"/>
      <c r="H1222" s="27"/>
    </row>
    <row r="1223" spans="2:8" ht="15" x14ac:dyDescent="0.25">
      <c r="B1223" s="27"/>
      <c r="C1223" s="27"/>
      <c r="D1223" s="27"/>
      <c r="E1223" s="27"/>
      <c r="F1223" s="27"/>
      <c r="G1223" s="27"/>
      <c r="H1223" s="27"/>
    </row>
    <row r="1224" spans="2:8" ht="15" x14ac:dyDescent="0.25">
      <c r="B1224" s="27"/>
      <c r="C1224" s="27"/>
      <c r="D1224" s="27"/>
      <c r="E1224" s="27"/>
      <c r="F1224" s="27"/>
      <c r="G1224" s="27"/>
      <c r="H1224" s="27"/>
    </row>
    <row r="1225" spans="2:8" ht="15" x14ac:dyDescent="0.25">
      <c r="B1225" s="27"/>
      <c r="C1225" s="27"/>
      <c r="D1225" s="27"/>
      <c r="E1225" s="27"/>
      <c r="F1225" s="27"/>
      <c r="G1225" s="27"/>
      <c r="H1225" s="27"/>
    </row>
    <row r="1226" spans="2:8" ht="15" x14ac:dyDescent="0.25">
      <c r="B1226" s="27"/>
      <c r="C1226" s="27"/>
      <c r="D1226" s="27"/>
      <c r="E1226" s="27"/>
      <c r="F1226" s="27"/>
      <c r="G1226" s="27"/>
      <c r="H1226" s="27"/>
    </row>
    <row r="1227" spans="2:8" ht="15" x14ac:dyDescent="0.25">
      <c r="B1227" s="27"/>
      <c r="C1227" s="27"/>
      <c r="D1227" s="27"/>
      <c r="E1227" s="27"/>
      <c r="F1227" s="27"/>
      <c r="G1227" s="27"/>
      <c r="H1227" s="27"/>
    </row>
    <row r="1228" spans="2:8" ht="15" x14ac:dyDescent="0.25">
      <c r="B1228" s="27"/>
      <c r="C1228" s="27"/>
      <c r="D1228" s="27"/>
      <c r="E1228" s="27"/>
      <c r="F1228" s="27"/>
      <c r="G1228" s="27"/>
      <c r="H1228" s="27"/>
    </row>
    <row r="1229" spans="2:8" ht="15" x14ac:dyDescent="0.25">
      <c r="B1229" s="27"/>
      <c r="C1229" s="27"/>
      <c r="D1229" s="27"/>
      <c r="E1229" s="27"/>
      <c r="F1229" s="27"/>
      <c r="G1229" s="27"/>
      <c r="H1229" s="27"/>
    </row>
    <row r="1230" spans="2:8" ht="15" x14ac:dyDescent="0.25">
      <c r="B1230" s="27"/>
      <c r="C1230" s="27"/>
      <c r="D1230" s="27"/>
      <c r="E1230" s="27"/>
      <c r="F1230" s="27"/>
      <c r="G1230" s="27"/>
      <c r="H1230" s="27"/>
    </row>
    <row r="1231" spans="2:8" ht="15" x14ac:dyDescent="0.25">
      <c r="B1231" s="27"/>
      <c r="C1231" s="27"/>
      <c r="D1231" s="27"/>
      <c r="E1231" s="27"/>
      <c r="F1231" s="27"/>
      <c r="G1231" s="27"/>
      <c r="H1231" s="27"/>
    </row>
    <row r="1232" spans="2:8" ht="15" x14ac:dyDescent="0.25">
      <c r="B1232" s="27"/>
      <c r="C1232" s="27"/>
      <c r="D1232" s="27"/>
      <c r="E1232" s="27"/>
      <c r="F1232" s="27"/>
      <c r="G1232" s="27"/>
      <c r="H1232" s="27"/>
    </row>
    <row r="1233" spans="2:8" ht="15" x14ac:dyDescent="0.25">
      <c r="B1233" s="27"/>
      <c r="C1233" s="27"/>
      <c r="D1233" s="27"/>
      <c r="E1233" s="27"/>
      <c r="F1233" s="27"/>
      <c r="G1233" s="27"/>
      <c r="H1233" s="27"/>
    </row>
    <row r="1234" spans="2:8" ht="15" x14ac:dyDescent="0.25">
      <c r="B1234" s="27"/>
      <c r="C1234" s="27"/>
      <c r="D1234" s="27"/>
      <c r="E1234" s="27"/>
      <c r="F1234" s="27"/>
      <c r="G1234" s="27"/>
      <c r="H1234" s="27"/>
    </row>
    <row r="1235" spans="2:8" ht="15" x14ac:dyDescent="0.25">
      <c r="B1235" s="27"/>
      <c r="C1235" s="27"/>
      <c r="D1235" s="27"/>
      <c r="E1235" s="27"/>
      <c r="F1235" s="27"/>
      <c r="G1235" s="27"/>
      <c r="H1235" s="27"/>
    </row>
    <row r="1236" spans="2:8" ht="15" x14ac:dyDescent="0.25">
      <c r="B1236" s="27"/>
      <c r="C1236" s="27"/>
      <c r="D1236" s="27"/>
      <c r="E1236" s="27"/>
      <c r="F1236" s="27"/>
      <c r="G1236" s="27"/>
      <c r="H1236" s="27"/>
    </row>
    <row r="1237" spans="2:8" ht="15" x14ac:dyDescent="0.25">
      <c r="B1237" s="27"/>
      <c r="C1237" s="27"/>
      <c r="D1237" s="27"/>
      <c r="E1237" s="27"/>
      <c r="F1237" s="27"/>
      <c r="G1237" s="27"/>
      <c r="H1237" s="27"/>
    </row>
    <row r="1238" spans="2:8" ht="15" x14ac:dyDescent="0.25">
      <c r="B1238" s="27"/>
      <c r="C1238" s="27"/>
      <c r="D1238" s="27"/>
      <c r="E1238" s="27"/>
      <c r="F1238" s="27"/>
      <c r="G1238" s="27"/>
      <c r="H1238" s="27"/>
    </row>
    <row r="1239" spans="2:8" ht="15" x14ac:dyDescent="0.25">
      <c r="B1239" s="27"/>
      <c r="C1239" s="27"/>
      <c r="D1239" s="27"/>
      <c r="E1239" s="27"/>
      <c r="F1239" s="27"/>
      <c r="G1239" s="27"/>
      <c r="H1239" s="27"/>
    </row>
    <row r="1240" spans="2:8" ht="15" x14ac:dyDescent="0.25">
      <c r="B1240" s="27"/>
      <c r="C1240" s="27"/>
      <c r="D1240" s="27"/>
      <c r="E1240" s="27"/>
      <c r="F1240" s="27"/>
      <c r="G1240" s="27"/>
      <c r="H1240" s="27"/>
    </row>
    <row r="1241" spans="2:8" ht="15" x14ac:dyDescent="0.25">
      <c r="B1241" s="27"/>
      <c r="C1241" s="27"/>
      <c r="D1241" s="27"/>
      <c r="E1241" s="27"/>
      <c r="F1241" s="27"/>
      <c r="G1241" s="27"/>
      <c r="H1241" s="27"/>
    </row>
    <row r="1242" spans="2:8" ht="15" x14ac:dyDescent="0.25">
      <c r="B1242" s="27"/>
      <c r="C1242" s="27"/>
      <c r="D1242" s="27"/>
      <c r="E1242" s="27"/>
      <c r="F1242" s="27"/>
      <c r="G1242" s="27"/>
      <c r="H1242" s="27"/>
    </row>
    <row r="1243" spans="2:8" ht="15" x14ac:dyDescent="0.25">
      <c r="B1243" s="27"/>
      <c r="C1243" s="27"/>
      <c r="D1243" s="27"/>
      <c r="E1243" s="27"/>
      <c r="F1243" s="27"/>
      <c r="G1243" s="27"/>
      <c r="H1243" s="27"/>
    </row>
    <row r="1244" spans="2:8" ht="15" x14ac:dyDescent="0.25">
      <c r="B1244" s="27"/>
      <c r="C1244" s="27"/>
      <c r="D1244" s="27"/>
      <c r="E1244" s="27"/>
      <c r="F1244" s="27"/>
      <c r="G1244" s="27"/>
      <c r="H1244" s="27"/>
    </row>
    <row r="1245" spans="2:8" ht="15" x14ac:dyDescent="0.25">
      <c r="B1245" s="27"/>
      <c r="C1245" s="27"/>
      <c r="D1245" s="27"/>
      <c r="E1245" s="27"/>
      <c r="F1245" s="27"/>
      <c r="G1245" s="27"/>
      <c r="H1245" s="27"/>
    </row>
    <row r="1246" spans="2:8" ht="15" x14ac:dyDescent="0.25">
      <c r="B1246" s="27"/>
      <c r="C1246" s="27"/>
      <c r="D1246" s="27"/>
      <c r="E1246" s="27"/>
      <c r="F1246" s="27"/>
      <c r="G1246" s="27"/>
      <c r="H1246" s="27"/>
    </row>
    <row r="1247" spans="2:8" ht="15" x14ac:dyDescent="0.25">
      <c r="B1247" s="27"/>
      <c r="C1247" s="27"/>
      <c r="D1247" s="27"/>
      <c r="E1247" s="27"/>
      <c r="F1247" s="27"/>
      <c r="G1247" s="27"/>
      <c r="H1247" s="27"/>
    </row>
    <row r="1248" spans="2:8" ht="15" x14ac:dyDescent="0.25">
      <c r="B1248" s="27"/>
      <c r="C1248" s="27"/>
      <c r="D1248" s="27"/>
      <c r="E1248" s="27"/>
      <c r="F1248" s="27"/>
      <c r="G1248" s="27"/>
      <c r="H1248" s="27"/>
    </row>
    <row r="1249" spans="2:8" ht="15" x14ac:dyDescent="0.25">
      <c r="B1249" s="27"/>
      <c r="C1249" s="27"/>
      <c r="D1249" s="27"/>
      <c r="E1249" s="27"/>
      <c r="F1249" s="27"/>
      <c r="G1249" s="27"/>
      <c r="H1249" s="27"/>
    </row>
    <row r="1250" spans="2:8" ht="15" x14ac:dyDescent="0.25">
      <c r="B1250" s="27"/>
      <c r="C1250" s="27"/>
      <c r="D1250" s="27"/>
      <c r="E1250" s="27"/>
      <c r="F1250" s="27"/>
      <c r="G1250" s="27"/>
      <c r="H1250" s="27"/>
    </row>
    <row r="1251" spans="2:8" ht="15" x14ac:dyDescent="0.25">
      <c r="B1251" s="27"/>
      <c r="C1251" s="27"/>
      <c r="D1251" s="27"/>
      <c r="E1251" s="27"/>
      <c r="F1251" s="27"/>
      <c r="G1251" s="27"/>
      <c r="H1251" s="27"/>
    </row>
    <row r="1252" spans="2:8" ht="15" x14ac:dyDescent="0.25">
      <c r="B1252" s="27"/>
      <c r="C1252" s="27"/>
      <c r="D1252" s="27"/>
      <c r="E1252" s="27"/>
      <c r="F1252" s="27"/>
      <c r="G1252" s="27"/>
      <c r="H1252" s="27"/>
    </row>
    <row r="1253" spans="2:8" ht="15" x14ac:dyDescent="0.25">
      <c r="B1253" s="27"/>
      <c r="C1253" s="27"/>
      <c r="D1253" s="27"/>
      <c r="E1253" s="27"/>
      <c r="F1253" s="27"/>
      <c r="G1253" s="27"/>
      <c r="H1253" s="27"/>
    </row>
    <row r="1254" spans="2:8" ht="15" x14ac:dyDescent="0.25">
      <c r="B1254" s="27"/>
      <c r="C1254" s="27"/>
      <c r="D1254" s="27"/>
      <c r="E1254" s="27"/>
      <c r="F1254" s="27"/>
      <c r="G1254" s="27"/>
      <c r="H1254" s="27"/>
    </row>
    <row r="1255" spans="2:8" ht="15" x14ac:dyDescent="0.25">
      <c r="B1255" s="27"/>
      <c r="C1255" s="27"/>
      <c r="D1255" s="27"/>
      <c r="E1255" s="27"/>
      <c r="F1255" s="27"/>
      <c r="G1255" s="27"/>
      <c r="H1255" s="27"/>
    </row>
    <row r="1256" spans="2:8" ht="15" x14ac:dyDescent="0.25">
      <c r="B1256" s="27"/>
      <c r="C1256" s="27"/>
      <c r="D1256" s="27"/>
      <c r="E1256" s="27"/>
      <c r="F1256" s="27"/>
      <c r="G1256" s="27"/>
      <c r="H1256" s="27"/>
    </row>
    <row r="1257" spans="2:8" ht="15" x14ac:dyDescent="0.25">
      <c r="B1257" s="27"/>
      <c r="C1257" s="27"/>
      <c r="D1257" s="27"/>
      <c r="E1257" s="27"/>
      <c r="F1257" s="27"/>
      <c r="G1257" s="27"/>
      <c r="H1257" s="27"/>
    </row>
    <row r="1258" spans="2:8" ht="15" x14ac:dyDescent="0.25">
      <c r="B1258" s="27"/>
      <c r="C1258" s="27"/>
      <c r="D1258" s="27"/>
      <c r="E1258" s="27"/>
      <c r="F1258" s="27"/>
      <c r="G1258" s="27"/>
      <c r="H1258" s="27"/>
    </row>
    <row r="1259" spans="2:8" ht="15" x14ac:dyDescent="0.25">
      <c r="B1259" s="27"/>
      <c r="C1259" s="27"/>
      <c r="D1259" s="27"/>
      <c r="E1259" s="27"/>
      <c r="F1259" s="27"/>
      <c r="G1259" s="27"/>
      <c r="H1259" s="27"/>
    </row>
    <row r="1260" spans="2:8" ht="15" x14ac:dyDescent="0.25">
      <c r="B1260" s="27"/>
      <c r="C1260" s="27"/>
      <c r="D1260" s="27"/>
      <c r="E1260" s="27"/>
      <c r="F1260" s="27"/>
      <c r="G1260" s="27"/>
      <c r="H1260" s="27"/>
    </row>
    <row r="1261" spans="2:8" ht="15" x14ac:dyDescent="0.25">
      <c r="B1261" s="27"/>
      <c r="C1261" s="27"/>
      <c r="D1261" s="27"/>
      <c r="E1261" s="27"/>
      <c r="F1261" s="27"/>
      <c r="G1261" s="27"/>
      <c r="H1261" s="27"/>
    </row>
    <row r="1262" spans="2:8" ht="15" x14ac:dyDescent="0.25">
      <c r="B1262" s="27"/>
      <c r="C1262" s="27"/>
      <c r="D1262" s="27"/>
      <c r="E1262" s="27"/>
      <c r="F1262" s="27"/>
      <c r="G1262" s="27"/>
      <c r="H1262" s="27"/>
    </row>
    <row r="1263" spans="2:8" ht="15" x14ac:dyDescent="0.25">
      <c r="B1263" s="27"/>
      <c r="C1263" s="27"/>
      <c r="D1263" s="27"/>
      <c r="E1263" s="27"/>
      <c r="F1263" s="27"/>
      <c r="G1263" s="27"/>
      <c r="H1263" s="27"/>
    </row>
    <row r="1264" spans="2:8" ht="15" x14ac:dyDescent="0.25">
      <c r="B1264" s="27"/>
      <c r="C1264" s="27"/>
      <c r="D1264" s="27"/>
      <c r="E1264" s="27"/>
      <c r="F1264" s="27"/>
      <c r="G1264" s="27"/>
      <c r="H1264" s="27"/>
    </row>
    <row r="1265" spans="2:8" ht="15" x14ac:dyDescent="0.25">
      <c r="B1265" s="27"/>
      <c r="C1265" s="27"/>
      <c r="D1265" s="27"/>
      <c r="E1265" s="27"/>
      <c r="F1265" s="27"/>
      <c r="G1265" s="27"/>
      <c r="H1265" s="27"/>
    </row>
    <row r="1266" spans="2:8" ht="15" x14ac:dyDescent="0.25">
      <c r="B1266" s="27"/>
      <c r="C1266" s="27"/>
      <c r="D1266" s="27"/>
      <c r="E1266" s="27"/>
      <c r="F1266" s="27"/>
      <c r="G1266" s="27"/>
      <c r="H1266" s="27"/>
    </row>
    <row r="1267" spans="2:8" ht="15" x14ac:dyDescent="0.25">
      <c r="B1267" s="27"/>
      <c r="C1267" s="27"/>
      <c r="D1267" s="27"/>
      <c r="E1267" s="27"/>
      <c r="F1267" s="27"/>
      <c r="G1267" s="27"/>
      <c r="H1267" s="27"/>
    </row>
    <row r="1268" spans="2:8" ht="15" x14ac:dyDescent="0.25">
      <c r="B1268" s="27"/>
      <c r="C1268" s="27"/>
      <c r="D1268" s="27"/>
      <c r="E1268" s="27"/>
      <c r="F1268" s="27"/>
      <c r="G1268" s="27"/>
      <c r="H1268" s="27"/>
    </row>
    <row r="1269" spans="2:8" ht="15" x14ac:dyDescent="0.25">
      <c r="B1269" s="27"/>
      <c r="C1269" s="27"/>
      <c r="D1269" s="27"/>
      <c r="E1269" s="27"/>
      <c r="F1269" s="27"/>
      <c r="G1269" s="27"/>
      <c r="H1269" s="27"/>
    </row>
    <row r="1270" spans="2:8" ht="15" x14ac:dyDescent="0.25">
      <c r="B1270" s="27"/>
      <c r="C1270" s="27"/>
      <c r="D1270" s="27"/>
      <c r="E1270" s="27"/>
      <c r="F1270" s="27"/>
      <c r="G1270" s="27"/>
      <c r="H1270" s="27"/>
    </row>
    <row r="1271" spans="2:8" ht="15" x14ac:dyDescent="0.25">
      <c r="B1271" s="27"/>
      <c r="C1271" s="27"/>
      <c r="D1271" s="27"/>
      <c r="E1271" s="27"/>
      <c r="F1271" s="27"/>
      <c r="G1271" s="27"/>
      <c r="H1271" s="27"/>
    </row>
    <row r="1272" spans="2:8" ht="15" x14ac:dyDescent="0.25">
      <c r="B1272" s="27"/>
      <c r="C1272" s="27"/>
      <c r="D1272" s="27"/>
      <c r="E1272" s="27"/>
      <c r="F1272" s="27"/>
      <c r="G1272" s="27"/>
      <c r="H1272" s="27"/>
    </row>
    <row r="1273" spans="2:8" ht="15" x14ac:dyDescent="0.25">
      <c r="B1273" s="27"/>
      <c r="C1273" s="27"/>
      <c r="D1273" s="27"/>
      <c r="E1273" s="27"/>
      <c r="F1273" s="27"/>
      <c r="G1273" s="27"/>
      <c r="H1273" s="27"/>
    </row>
    <row r="1274" spans="2:8" ht="15" x14ac:dyDescent="0.25">
      <c r="B1274" s="27"/>
      <c r="C1274" s="27"/>
      <c r="D1274" s="27"/>
      <c r="E1274" s="27"/>
      <c r="F1274" s="27"/>
      <c r="G1274" s="27"/>
      <c r="H1274" s="27"/>
    </row>
    <row r="1275" spans="2:8" ht="15" x14ac:dyDescent="0.25">
      <c r="B1275" s="27"/>
      <c r="C1275" s="27"/>
      <c r="D1275" s="27"/>
      <c r="E1275" s="27"/>
      <c r="F1275" s="27"/>
      <c r="G1275" s="27"/>
      <c r="H1275" s="27"/>
    </row>
    <row r="1276" spans="2:8" ht="15" x14ac:dyDescent="0.25">
      <c r="B1276" s="27"/>
      <c r="C1276" s="27"/>
      <c r="D1276" s="27"/>
      <c r="E1276" s="27"/>
      <c r="F1276" s="27"/>
      <c r="G1276" s="27"/>
      <c r="H1276" s="27"/>
    </row>
    <row r="1277" spans="2:8" ht="15" x14ac:dyDescent="0.25">
      <c r="B1277" s="27"/>
      <c r="C1277" s="27"/>
      <c r="D1277" s="27"/>
      <c r="E1277" s="27"/>
      <c r="F1277" s="27"/>
      <c r="G1277" s="27"/>
      <c r="H1277" s="27"/>
    </row>
    <row r="1278" spans="2:8" ht="15" x14ac:dyDescent="0.25">
      <c r="B1278" s="27"/>
      <c r="C1278" s="27"/>
      <c r="D1278" s="27"/>
      <c r="E1278" s="27"/>
      <c r="F1278" s="27"/>
      <c r="G1278" s="27"/>
      <c r="H1278" s="27"/>
    </row>
    <row r="1279" spans="2:8" ht="15" x14ac:dyDescent="0.25">
      <c r="B1279" s="27"/>
      <c r="C1279" s="27"/>
      <c r="D1279" s="27"/>
      <c r="E1279" s="27"/>
      <c r="F1279" s="27"/>
      <c r="G1279" s="27"/>
      <c r="H1279" s="27"/>
    </row>
    <row r="1280" spans="2:8" ht="15" x14ac:dyDescent="0.25">
      <c r="B1280" s="27"/>
      <c r="C1280" s="27"/>
      <c r="D1280" s="27"/>
      <c r="E1280" s="27"/>
      <c r="F1280" s="27"/>
      <c r="G1280" s="27"/>
      <c r="H1280" s="27"/>
    </row>
    <row r="1281" spans="2:8" ht="15" x14ac:dyDescent="0.25">
      <c r="B1281" s="27"/>
      <c r="C1281" s="27"/>
      <c r="D1281" s="27"/>
      <c r="E1281" s="27"/>
      <c r="F1281" s="27"/>
      <c r="G1281" s="27"/>
      <c r="H1281" s="27"/>
    </row>
    <row r="1282" spans="2:8" ht="15" x14ac:dyDescent="0.25">
      <c r="B1282" s="27"/>
      <c r="C1282" s="27"/>
      <c r="D1282" s="27"/>
      <c r="E1282" s="27"/>
      <c r="F1282" s="27"/>
      <c r="G1282" s="27"/>
      <c r="H1282" s="27"/>
    </row>
    <row r="1283" spans="2:8" ht="15" x14ac:dyDescent="0.25">
      <c r="B1283" s="27"/>
      <c r="C1283" s="27"/>
      <c r="D1283" s="27"/>
      <c r="E1283" s="27"/>
      <c r="F1283" s="27"/>
      <c r="G1283" s="27"/>
      <c r="H1283" s="27"/>
    </row>
    <row r="1284" spans="2:8" ht="15" x14ac:dyDescent="0.25">
      <c r="B1284" s="27"/>
      <c r="C1284" s="27"/>
      <c r="D1284" s="27"/>
      <c r="E1284" s="27"/>
      <c r="F1284" s="27"/>
      <c r="G1284" s="27"/>
      <c r="H1284" s="27"/>
    </row>
    <row r="1285" spans="2:8" ht="15" x14ac:dyDescent="0.25">
      <c r="B1285" s="27"/>
      <c r="C1285" s="27"/>
      <c r="D1285" s="27"/>
      <c r="E1285" s="27"/>
      <c r="F1285" s="27"/>
      <c r="G1285" s="27"/>
      <c r="H1285" s="27"/>
    </row>
    <row r="1286" spans="2:8" ht="15" x14ac:dyDescent="0.25">
      <c r="B1286" s="27"/>
      <c r="C1286" s="27"/>
      <c r="D1286" s="27"/>
      <c r="E1286" s="27"/>
      <c r="F1286" s="27"/>
      <c r="G1286" s="27"/>
      <c r="H1286" s="27"/>
    </row>
    <row r="1287" spans="2:8" ht="15" x14ac:dyDescent="0.25">
      <c r="B1287" s="27"/>
      <c r="C1287" s="27"/>
      <c r="D1287" s="27"/>
      <c r="E1287" s="27"/>
      <c r="F1287" s="27"/>
      <c r="G1287" s="27"/>
      <c r="H1287" s="27"/>
    </row>
    <row r="1288" spans="2:8" ht="15" x14ac:dyDescent="0.25">
      <c r="B1288" s="27"/>
      <c r="C1288" s="27"/>
      <c r="D1288" s="27"/>
      <c r="E1288" s="27"/>
      <c r="F1288" s="27"/>
      <c r="G1288" s="27"/>
      <c r="H1288" s="27"/>
    </row>
    <row r="1289" spans="2:8" ht="15" x14ac:dyDescent="0.25">
      <c r="B1289" s="27"/>
      <c r="C1289" s="27"/>
      <c r="D1289" s="27"/>
      <c r="E1289" s="27"/>
      <c r="F1289" s="27"/>
      <c r="G1289" s="27"/>
      <c r="H1289" s="27"/>
    </row>
    <row r="1290" spans="2:8" ht="15" x14ac:dyDescent="0.25">
      <c r="B1290" s="27"/>
      <c r="C1290" s="27"/>
      <c r="D1290" s="27"/>
      <c r="E1290" s="27"/>
      <c r="F1290" s="27"/>
      <c r="G1290" s="27"/>
      <c r="H1290" s="27"/>
    </row>
    <row r="1291" spans="2:8" ht="15" x14ac:dyDescent="0.25">
      <c r="B1291" s="27"/>
      <c r="C1291" s="27"/>
      <c r="D1291" s="27"/>
      <c r="E1291" s="27"/>
      <c r="F1291" s="27"/>
      <c r="G1291" s="27"/>
      <c r="H1291" s="27"/>
    </row>
    <row r="1292" spans="2:8" ht="15" x14ac:dyDescent="0.25">
      <c r="B1292" s="27"/>
      <c r="C1292" s="27"/>
      <c r="D1292" s="27"/>
      <c r="E1292" s="27"/>
      <c r="F1292" s="27"/>
      <c r="G1292" s="27"/>
      <c r="H1292" s="27"/>
    </row>
    <row r="1293" spans="2:8" ht="15" x14ac:dyDescent="0.25">
      <c r="B1293" s="27"/>
      <c r="C1293" s="27"/>
      <c r="D1293" s="27"/>
      <c r="E1293" s="27"/>
      <c r="F1293" s="27"/>
      <c r="G1293" s="27"/>
      <c r="H1293" s="27"/>
    </row>
    <row r="1294" spans="2:8" ht="15" x14ac:dyDescent="0.25">
      <c r="B1294" s="27"/>
      <c r="C1294" s="27"/>
      <c r="D1294" s="27"/>
      <c r="E1294" s="27"/>
      <c r="F1294" s="27"/>
      <c r="G1294" s="27"/>
      <c r="H1294" s="27"/>
    </row>
    <row r="1295" spans="2:8" ht="15" x14ac:dyDescent="0.25">
      <c r="B1295" s="27"/>
      <c r="C1295" s="27"/>
      <c r="D1295" s="27"/>
      <c r="E1295" s="27"/>
      <c r="F1295" s="27"/>
      <c r="G1295" s="27"/>
      <c r="H1295" s="27"/>
    </row>
    <row r="1296" spans="2:8" ht="15" x14ac:dyDescent="0.25">
      <c r="B1296" s="27"/>
      <c r="C1296" s="27"/>
      <c r="D1296" s="27"/>
      <c r="E1296" s="27"/>
      <c r="F1296" s="27"/>
      <c r="G1296" s="27"/>
      <c r="H1296" s="27"/>
    </row>
    <row r="1297" spans="2:8" ht="15" x14ac:dyDescent="0.25">
      <c r="B1297" s="27"/>
      <c r="C1297" s="27"/>
      <c r="D1297" s="27"/>
      <c r="E1297" s="27"/>
      <c r="F1297" s="27"/>
      <c r="G1297" s="27"/>
      <c r="H1297" s="27"/>
    </row>
    <row r="1298" spans="2:8" ht="15" x14ac:dyDescent="0.25">
      <c r="B1298" s="27"/>
      <c r="C1298" s="27"/>
      <c r="D1298" s="27"/>
      <c r="E1298" s="27"/>
      <c r="F1298" s="27"/>
      <c r="G1298" s="27"/>
      <c r="H1298" s="27"/>
    </row>
    <row r="1299" spans="2:8" ht="15" x14ac:dyDescent="0.25">
      <c r="B1299" s="27"/>
      <c r="C1299" s="27"/>
      <c r="D1299" s="27"/>
      <c r="E1299" s="27"/>
      <c r="F1299" s="27"/>
      <c r="G1299" s="27"/>
      <c r="H1299" s="27"/>
    </row>
    <row r="1300" spans="2:8" ht="15" x14ac:dyDescent="0.25">
      <c r="B1300" s="27"/>
      <c r="C1300" s="27"/>
      <c r="D1300" s="27"/>
      <c r="E1300" s="27"/>
      <c r="F1300" s="27"/>
      <c r="G1300" s="27"/>
      <c r="H1300" s="27"/>
    </row>
    <row r="1301" spans="2:8" ht="15" x14ac:dyDescent="0.25">
      <c r="B1301" s="27"/>
      <c r="C1301" s="27"/>
      <c r="D1301" s="27"/>
      <c r="E1301" s="27"/>
      <c r="F1301" s="27"/>
      <c r="G1301" s="27"/>
      <c r="H1301" s="27"/>
    </row>
    <row r="1302" spans="2:8" ht="15" x14ac:dyDescent="0.25">
      <c r="B1302" s="27"/>
      <c r="C1302" s="27"/>
      <c r="D1302" s="27"/>
      <c r="E1302" s="27"/>
      <c r="F1302" s="27"/>
      <c r="G1302" s="27"/>
      <c r="H1302" s="27"/>
    </row>
    <row r="1303" spans="2:8" ht="15" x14ac:dyDescent="0.25">
      <c r="B1303" s="27"/>
      <c r="C1303" s="27"/>
      <c r="D1303" s="27"/>
      <c r="E1303" s="27"/>
      <c r="F1303" s="27"/>
      <c r="G1303" s="27"/>
      <c r="H1303" s="27"/>
    </row>
    <row r="1304" spans="2:8" ht="15" x14ac:dyDescent="0.25">
      <c r="B1304" s="27"/>
      <c r="C1304" s="27"/>
      <c r="D1304" s="27"/>
      <c r="E1304" s="27"/>
      <c r="F1304" s="27"/>
      <c r="G1304" s="27"/>
      <c r="H1304" s="27"/>
    </row>
    <row r="1305" spans="2:8" ht="15" x14ac:dyDescent="0.25">
      <c r="B1305" s="27"/>
      <c r="C1305" s="27"/>
      <c r="D1305" s="27"/>
      <c r="E1305" s="27"/>
      <c r="F1305" s="27"/>
      <c r="G1305" s="27"/>
      <c r="H1305" s="27"/>
    </row>
    <row r="1306" spans="2:8" ht="15" x14ac:dyDescent="0.25">
      <c r="B1306" s="27"/>
      <c r="C1306" s="27"/>
      <c r="D1306" s="27"/>
      <c r="E1306" s="27"/>
      <c r="F1306" s="27"/>
      <c r="G1306" s="27"/>
      <c r="H1306" s="27"/>
    </row>
    <row r="1307" spans="2:8" ht="15" x14ac:dyDescent="0.25">
      <c r="B1307" s="27"/>
      <c r="C1307" s="27"/>
      <c r="D1307" s="27"/>
      <c r="E1307" s="27"/>
      <c r="F1307" s="27"/>
      <c r="G1307" s="27"/>
      <c r="H1307" s="27"/>
    </row>
    <row r="1308" spans="2:8" ht="15" x14ac:dyDescent="0.25">
      <c r="B1308" s="27"/>
      <c r="C1308" s="27"/>
      <c r="D1308" s="27"/>
      <c r="E1308" s="27"/>
      <c r="F1308" s="27"/>
      <c r="G1308" s="27"/>
      <c r="H1308" s="27"/>
    </row>
    <row r="1309" spans="2:8" ht="15" x14ac:dyDescent="0.25">
      <c r="B1309" s="27"/>
      <c r="C1309" s="27"/>
      <c r="D1309" s="27"/>
      <c r="E1309" s="27"/>
      <c r="F1309" s="27"/>
      <c r="G1309" s="27"/>
      <c r="H1309" s="27"/>
    </row>
    <row r="1310" spans="2:8" ht="15" x14ac:dyDescent="0.25">
      <c r="B1310" s="27"/>
      <c r="C1310" s="27"/>
      <c r="D1310" s="27"/>
      <c r="E1310" s="27"/>
      <c r="F1310" s="27"/>
      <c r="G1310" s="27"/>
      <c r="H1310" s="27"/>
    </row>
    <row r="1311" spans="2:8" ht="15" x14ac:dyDescent="0.25">
      <c r="B1311" s="27"/>
      <c r="C1311" s="27"/>
      <c r="D1311" s="27"/>
      <c r="E1311" s="27"/>
      <c r="F1311" s="27"/>
      <c r="G1311" s="27"/>
      <c r="H1311" s="27"/>
    </row>
    <row r="1312" spans="2:8" ht="15" x14ac:dyDescent="0.25">
      <c r="B1312" s="27"/>
      <c r="C1312" s="27"/>
      <c r="D1312" s="27"/>
      <c r="E1312" s="27"/>
      <c r="F1312" s="27"/>
      <c r="G1312" s="27"/>
      <c r="H1312" s="27"/>
    </row>
    <row r="1313" spans="2:8" ht="15" x14ac:dyDescent="0.25">
      <c r="B1313" s="27"/>
      <c r="C1313" s="27"/>
      <c r="D1313" s="27"/>
      <c r="E1313" s="27"/>
      <c r="F1313" s="27"/>
      <c r="G1313" s="27"/>
      <c r="H1313" s="27"/>
    </row>
    <row r="1314" spans="2:8" ht="15" x14ac:dyDescent="0.25">
      <c r="B1314" s="27"/>
      <c r="C1314" s="27"/>
      <c r="D1314" s="27"/>
      <c r="E1314" s="27"/>
      <c r="F1314" s="27"/>
      <c r="G1314" s="27"/>
      <c r="H1314" s="27"/>
    </row>
    <row r="1315" spans="2:8" ht="15" x14ac:dyDescent="0.25">
      <c r="B1315" s="27"/>
      <c r="C1315" s="27"/>
      <c r="D1315" s="27"/>
      <c r="E1315" s="27"/>
      <c r="F1315" s="27"/>
      <c r="G1315" s="27"/>
      <c r="H1315" s="27"/>
    </row>
    <row r="1316" spans="2:8" ht="15" x14ac:dyDescent="0.25">
      <c r="B1316" s="27"/>
      <c r="C1316" s="27"/>
      <c r="D1316" s="27"/>
      <c r="E1316" s="27"/>
      <c r="F1316" s="27"/>
      <c r="G1316" s="27"/>
      <c r="H1316" s="27"/>
    </row>
    <row r="1317" spans="2:8" ht="15" x14ac:dyDescent="0.25">
      <c r="B1317" s="27"/>
      <c r="C1317" s="27"/>
      <c r="D1317" s="27"/>
      <c r="E1317" s="27"/>
      <c r="F1317" s="27"/>
      <c r="G1317" s="27"/>
      <c r="H1317" s="27"/>
    </row>
    <row r="1318" spans="2:8" ht="15" x14ac:dyDescent="0.25">
      <c r="B1318" s="27"/>
      <c r="C1318" s="27"/>
      <c r="D1318" s="27"/>
      <c r="E1318" s="27"/>
      <c r="F1318" s="27"/>
      <c r="G1318" s="27"/>
      <c r="H1318" s="27"/>
    </row>
    <row r="1319" spans="2:8" ht="15" x14ac:dyDescent="0.25">
      <c r="B1319" s="27"/>
      <c r="C1319" s="27"/>
      <c r="D1319" s="27"/>
      <c r="E1319" s="27"/>
      <c r="F1319" s="27"/>
      <c r="G1319" s="27"/>
      <c r="H1319" s="27"/>
    </row>
    <row r="1320" spans="2:8" ht="15" x14ac:dyDescent="0.25">
      <c r="B1320" s="27"/>
      <c r="C1320" s="27"/>
      <c r="D1320" s="27"/>
      <c r="E1320" s="27"/>
      <c r="F1320" s="27"/>
      <c r="G1320" s="27"/>
      <c r="H1320" s="27"/>
    </row>
    <row r="1321" spans="2:8" ht="15" x14ac:dyDescent="0.25">
      <c r="B1321" s="27"/>
      <c r="C1321" s="27"/>
      <c r="D1321" s="27"/>
      <c r="E1321" s="27"/>
      <c r="F1321" s="27"/>
      <c r="G1321" s="27"/>
      <c r="H1321" s="27"/>
    </row>
    <row r="1322" spans="2:8" ht="15" x14ac:dyDescent="0.25">
      <c r="B1322" s="27"/>
      <c r="C1322" s="27"/>
      <c r="D1322" s="27"/>
      <c r="E1322" s="27"/>
      <c r="F1322" s="27"/>
      <c r="G1322" s="27"/>
      <c r="H1322" s="27"/>
    </row>
    <row r="1323" spans="2:8" ht="15" x14ac:dyDescent="0.25">
      <c r="B1323" s="27"/>
      <c r="C1323" s="27"/>
      <c r="D1323" s="27"/>
      <c r="E1323" s="27"/>
      <c r="F1323" s="27"/>
      <c r="G1323" s="27"/>
      <c r="H1323" s="27"/>
    </row>
    <row r="1324" spans="2:8" ht="15" x14ac:dyDescent="0.25">
      <c r="B1324" s="27"/>
      <c r="C1324" s="27"/>
      <c r="D1324" s="27"/>
      <c r="E1324" s="27"/>
      <c r="F1324" s="27"/>
      <c r="G1324" s="27"/>
      <c r="H1324" s="27"/>
    </row>
    <row r="1325" spans="2:8" ht="15" x14ac:dyDescent="0.25">
      <c r="B1325" s="27"/>
      <c r="C1325" s="27"/>
      <c r="D1325" s="27"/>
      <c r="E1325" s="27"/>
      <c r="F1325" s="27"/>
      <c r="G1325" s="27"/>
      <c r="H1325" s="27"/>
    </row>
    <row r="1326" spans="2:8" ht="15" x14ac:dyDescent="0.25">
      <c r="B1326" s="27"/>
      <c r="C1326" s="27"/>
      <c r="D1326" s="27"/>
      <c r="E1326" s="27"/>
      <c r="F1326" s="27"/>
      <c r="G1326" s="27"/>
      <c r="H1326" s="27"/>
    </row>
    <row r="1327" spans="2:8" ht="15" x14ac:dyDescent="0.25">
      <c r="B1327" s="27"/>
      <c r="C1327" s="27"/>
      <c r="D1327" s="27"/>
      <c r="E1327" s="27"/>
      <c r="F1327" s="27"/>
      <c r="G1327" s="27"/>
      <c r="H1327" s="27"/>
    </row>
    <row r="1328" spans="2:8" ht="15" x14ac:dyDescent="0.25">
      <c r="B1328" s="27"/>
      <c r="C1328" s="27"/>
      <c r="D1328" s="27"/>
      <c r="E1328" s="27"/>
      <c r="F1328" s="27"/>
      <c r="G1328" s="27"/>
      <c r="H1328" s="27"/>
    </row>
    <row r="1329" spans="2:8" ht="15" x14ac:dyDescent="0.25">
      <c r="B1329" s="27"/>
      <c r="C1329" s="27"/>
      <c r="D1329" s="27"/>
      <c r="E1329" s="27"/>
      <c r="F1329" s="27"/>
      <c r="G1329" s="27"/>
      <c r="H1329" s="27"/>
    </row>
    <row r="1330" spans="2:8" ht="15" x14ac:dyDescent="0.25">
      <c r="B1330" s="27"/>
      <c r="C1330" s="27"/>
      <c r="D1330" s="27"/>
      <c r="E1330" s="27"/>
      <c r="F1330" s="27"/>
      <c r="G1330" s="27"/>
      <c r="H1330" s="27"/>
    </row>
    <row r="1331" spans="2:8" ht="15" x14ac:dyDescent="0.25">
      <c r="B1331" s="27"/>
      <c r="C1331" s="27"/>
      <c r="D1331" s="27"/>
      <c r="E1331" s="27"/>
      <c r="F1331" s="27"/>
      <c r="G1331" s="27"/>
      <c r="H1331" s="27"/>
    </row>
    <row r="1332" spans="2:8" ht="15" x14ac:dyDescent="0.25">
      <c r="B1332" s="27"/>
      <c r="C1332" s="27"/>
      <c r="D1332" s="27"/>
      <c r="E1332" s="27"/>
      <c r="F1332" s="27"/>
      <c r="G1332" s="27"/>
      <c r="H1332" s="27"/>
    </row>
    <row r="1333" spans="2:8" ht="15" x14ac:dyDescent="0.25">
      <c r="B1333" s="27"/>
      <c r="C1333" s="27"/>
      <c r="D1333" s="27"/>
      <c r="E1333" s="27"/>
      <c r="F1333" s="27"/>
      <c r="G1333" s="27"/>
      <c r="H1333" s="27"/>
    </row>
    <row r="1334" spans="2:8" ht="15" x14ac:dyDescent="0.25">
      <c r="B1334" s="27"/>
      <c r="C1334" s="27"/>
      <c r="D1334" s="27"/>
      <c r="E1334" s="27"/>
      <c r="F1334" s="27"/>
      <c r="G1334" s="27"/>
      <c r="H1334" s="27"/>
    </row>
    <row r="1335" spans="2:8" ht="15" x14ac:dyDescent="0.25">
      <c r="B1335" s="27"/>
      <c r="C1335" s="27"/>
      <c r="D1335" s="27"/>
      <c r="E1335" s="27"/>
      <c r="F1335" s="27"/>
      <c r="G1335" s="27"/>
      <c r="H1335" s="27"/>
    </row>
    <row r="1336" spans="2:8" ht="15" x14ac:dyDescent="0.25">
      <c r="B1336" s="27"/>
      <c r="C1336" s="27"/>
      <c r="D1336" s="27"/>
      <c r="E1336" s="27"/>
      <c r="F1336" s="27"/>
      <c r="G1336" s="27"/>
      <c r="H1336" s="27"/>
    </row>
    <row r="1337" spans="2:8" ht="15" x14ac:dyDescent="0.25">
      <c r="B1337" s="27"/>
      <c r="C1337" s="27"/>
      <c r="D1337" s="27"/>
      <c r="E1337" s="27"/>
      <c r="F1337" s="27"/>
      <c r="G1337" s="27"/>
      <c r="H1337" s="27"/>
    </row>
    <row r="1338" spans="2:8" ht="15" x14ac:dyDescent="0.25">
      <c r="B1338" s="27"/>
      <c r="C1338" s="27"/>
      <c r="D1338" s="27"/>
      <c r="E1338" s="27"/>
      <c r="F1338" s="27"/>
      <c r="G1338" s="27"/>
      <c r="H1338" s="27"/>
    </row>
    <row r="1339" spans="2:8" ht="15" x14ac:dyDescent="0.25">
      <c r="B1339" s="27"/>
      <c r="C1339" s="27"/>
      <c r="D1339" s="27"/>
      <c r="E1339" s="27"/>
      <c r="F1339" s="27"/>
      <c r="G1339" s="27"/>
      <c r="H1339" s="27"/>
    </row>
    <row r="1340" spans="2:8" ht="15" x14ac:dyDescent="0.25">
      <c r="B1340" s="27"/>
      <c r="C1340" s="27"/>
      <c r="D1340" s="27"/>
      <c r="E1340" s="27"/>
      <c r="F1340" s="27"/>
      <c r="G1340" s="27"/>
      <c r="H1340" s="27"/>
    </row>
    <row r="1341" spans="2:8" ht="15" x14ac:dyDescent="0.25">
      <c r="B1341" s="27"/>
      <c r="C1341" s="27"/>
      <c r="D1341" s="27"/>
      <c r="E1341" s="27"/>
      <c r="F1341" s="27"/>
      <c r="G1341" s="27"/>
      <c r="H1341" s="27"/>
    </row>
    <row r="1342" spans="2:8" ht="15" x14ac:dyDescent="0.25">
      <c r="B1342" s="27"/>
      <c r="C1342" s="27"/>
      <c r="D1342" s="27"/>
      <c r="E1342" s="27"/>
      <c r="F1342" s="27"/>
      <c r="G1342" s="27"/>
      <c r="H1342" s="27"/>
    </row>
    <row r="1343" spans="2:8" ht="15" x14ac:dyDescent="0.25">
      <c r="B1343" s="27"/>
      <c r="C1343" s="27"/>
      <c r="D1343" s="27"/>
      <c r="E1343" s="27"/>
      <c r="F1343" s="27"/>
      <c r="G1343" s="27"/>
      <c r="H1343" s="27"/>
    </row>
    <row r="1344" spans="2:8" ht="15" x14ac:dyDescent="0.25">
      <c r="B1344" s="27"/>
      <c r="C1344" s="27"/>
      <c r="D1344" s="27"/>
      <c r="E1344" s="27"/>
      <c r="F1344" s="27"/>
      <c r="G1344" s="27"/>
      <c r="H1344" s="27"/>
    </row>
    <row r="1345" spans="2:8" ht="15" x14ac:dyDescent="0.25">
      <c r="B1345" s="27"/>
      <c r="C1345" s="27"/>
      <c r="D1345" s="27"/>
      <c r="E1345" s="27"/>
      <c r="F1345" s="27"/>
      <c r="G1345" s="27"/>
      <c r="H1345" s="27"/>
    </row>
    <row r="1346" spans="2:8" ht="15" x14ac:dyDescent="0.25">
      <c r="B1346" s="27"/>
      <c r="C1346" s="27"/>
      <c r="D1346" s="27"/>
      <c r="E1346" s="27"/>
      <c r="F1346" s="27"/>
      <c r="G1346" s="27"/>
      <c r="H1346" s="27"/>
    </row>
    <row r="1347" spans="2:8" ht="15" x14ac:dyDescent="0.25">
      <c r="B1347" s="27"/>
      <c r="C1347" s="27"/>
      <c r="D1347" s="27"/>
      <c r="E1347" s="27"/>
      <c r="F1347" s="27"/>
      <c r="G1347" s="27"/>
      <c r="H1347" s="27"/>
    </row>
    <row r="1348" spans="2:8" ht="15" x14ac:dyDescent="0.25">
      <c r="B1348" s="27"/>
      <c r="C1348" s="27"/>
      <c r="D1348" s="27"/>
      <c r="E1348" s="27"/>
      <c r="F1348" s="27"/>
      <c r="G1348" s="27"/>
      <c r="H1348" s="27"/>
    </row>
    <row r="1349" spans="2:8" ht="15" x14ac:dyDescent="0.25">
      <c r="B1349" s="27"/>
      <c r="C1349" s="27"/>
      <c r="D1349" s="27"/>
      <c r="E1349" s="27"/>
      <c r="F1349" s="27"/>
      <c r="G1349" s="27"/>
      <c r="H1349" s="27"/>
    </row>
    <row r="1350" spans="2:8" ht="15" x14ac:dyDescent="0.25">
      <c r="B1350" s="27"/>
      <c r="C1350" s="27"/>
      <c r="D1350" s="27"/>
      <c r="E1350" s="27"/>
      <c r="F1350" s="27"/>
      <c r="G1350" s="27"/>
      <c r="H1350" s="27"/>
    </row>
    <row r="1351" spans="2:8" ht="15" x14ac:dyDescent="0.25">
      <c r="B1351" s="27"/>
      <c r="C1351" s="27"/>
      <c r="D1351" s="27"/>
      <c r="E1351" s="27"/>
      <c r="F1351" s="27"/>
      <c r="G1351" s="27"/>
      <c r="H1351" s="27"/>
    </row>
    <row r="1352" spans="2:8" ht="15" x14ac:dyDescent="0.25">
      <c r="B1352" s="27"/>
      <c r="C1352" s="27"/>
      <c r="D1352" s="27"/>
      <c r="E1352" s="27"/>
      <c r="F1352" s="27"/>
      <c r="G1352" s="27"/>
      <c r="H1352" s="27"/>
    </row>
    <row r="1353" spans="2:8" ht="15" x14ac:dyDescent="0.25">
      <c r="B1353" s="27"/>
      <c r="C1353" s="27"/>
      <c r="D1353" s="27"/>
      <c r="E1353" s="27"/>
      <c r="F1353" s="27"/>
      <c r="G1353" s="27"/>
      <c r="H1353" s="27"/>
    </row>
    <row r="1354" spans="2:8" ht="15" x14ac:dyDescent="0.25">
      <c r="B1354" s="27"/>
      <c r="C1354" s="27"/>
      <c r="D1354" s="27"/>
      <c r="E1354" s="27"/>
      <c r="F1354" s="27"/>
      <c r="G1354" s="27"/>
      <c r="H1354" s="27"/>
    </row>
    <row r="1355" spans="2:8" ht="15" x14ac:dyDescent="0.25">
      <c r="B1355" s="27"/>
      <c r="C1355" s="27"/>
      <c r="D1355" s="27"/>
      <c r="E1355" s="27"/>
      <c r="F1355" s="27"/>
      <c r="G1355" s="27"/>
      <c r="H1355" s="27"/>
    </row>
    <row r="1356" spans="2:8" ht="15" x14ac:dyDescent="0.25">
      <c r="B1356" s="27"/>
      <c r="C1356" s="27"/>
      <c r="D1356" s="27"/>
      <c r="E1356" s="27"/>
      <c r="F1356" s="27"/>
      <c r="G1356" s="27"/>
      <c r="H1356" s="27"/>
    </row>
    <row r="1357" spans="2:8" ht="15" x14ac:dyDescent="0.25">
      <c r="B1357" s="27"/>
      <c r="C1357" s="27"/>
      <c r="D1357" s="27"/>
      <c r="E1357" s="27"/>
      <c r="F1357" s="27"/>
      <c r="G1357" s="27"/>
      <c r="H1357" s="27"/>
    </row>
    <row r="1358" spans="2:8" ht="15" x14ac:dyDescent="0.25">
      <c r="B1358" s="27"/>
      <c r="C1358" s="27"/>
      <c r="D1358" s="27"/>
      <c r="E1358" s="27"/>
      <c r="F1358" s="27"/>
      <c r="G1358" s="27"/>
      <c r="H1358" s="27"/>
    </row>
    <row r="1359" spans="2:8" ht="15" x14ac:dyDescent="0.25">
      <c r="B1359" s="27"/>
      <c r="C1359" s="27"/>
      <c r="D1359" s="27"/>
      <c r="E1359" s="27"/>
      <c r="F1359" s="27"/>
      <c r="G1359" s="27"/>
      <c r="H1359" s="27"/>
    </row>
    <row r="1360" spans="2:8" ht="15" x14ac:dyDescent="0.25">
      <c r="B1360" s="27"/>
      <c r="C1360" s="27"/>
      <c r="D1360" s="27"/>
      <c r="E1360" s="27"/>
      <c r="F1360" s="27"/>
      <c r="G1360" s="27"/>
      <c r="H1360" s="27"/>
    </row>
    <row r="1361" spans="2:8" ht="15" x14ac:dyDescent="0.25">
      <c r="B1361" s="27"/>
      <c r="C1361" s="27"/>
      <c r="D1361" s="27"/>
      <c r="E1361" s="27"/>
      <c r="F1361" s="27"/>
      <c r="G1361" s="27"/>
      <c r="H1361" s="27"/>
    </row>
    <row r="1362" spans="2:8" ht="15" x14ac:dyDescent="0.25">
      <c r="B1362" s="27"/>
      <c r="C1362" s="27"/>
      <c r="D1362" s="27"/>
      <c r="E1362" s="27"/>
      <c r="F1362" s="27"/>
      <c r="G1362" s="27"/>
      <c r="H1362" s="27"/>
    </row>
    <row r="1363" spans="2:8" ht="15" x14ac:dyDescent="0.25">
      <c r="B1363" s="27"/>
      <c r="C1363" s="27"/>
      <c r="D1363" s="27"/>
      <c r="E1363" s="27"/>
      <c r="F1363" s="27"/>
      <c r="G1363" s="27"/>
      <c r="H1363" s="27"/>
    </row>
    <row r="1364" spans="2:8" ht="15" x14ac:dyDescent="0.25">
      <c r="B1364" s="27"/>
      <c r="C1364" s="27"/>
      <c r="D1364" s="27"/>
      <c r="E1364" s="27"/>
      <c r="F1364" s="27"/>
      <c r="G1364" s="27"/>
      <c r="H1364" s="27"/>
    </row>
    <row r="1365" spans="2:8" ht="15" x14ac:dyDescent="0.25">
      <c r="B1365" s="27"/>
      <c r="C1365" s="27"/>
      <c r="D1365" s="27"/>
      <c r="E1365" s="27"/>
      <c r="F1365" s="27"/>
      <c r="G1365" s="27"/>
      <c r="H1365" s="27"/>
    </row>
    <row r="1366" spans="2:8" ht="15" x14ac:dyDescent="0.25">
      <c r="B1366" s="27"/>
      <c r="C1366" s="27"/>
      <c r="D1366" s="27"/>
      <c r="E1366" s="27"/>
      <c r="F1366" s="27"/>
      <c r="G1366" s="27"/>
      <c r="H1366" s="27"/>
    </row>
    <row r="1367" spans="2:8" ht="15" x14ac:dyDescent="0.25">
      <c r="B1367" s="27"/>
      <c r="C1367" s="27"/>
      <c r="D1367" s="27"/>
      <c r="E1367" s="27"/>
      <c r="F1367" s="27"/>
      <c r="G1367" s="27"/>
      <c r="H1367" s="27"/>
    </row>
    <row r="1368" spans="2:8" ht="15" x14ac:dyDescent="0.25">
      <c r="B1368" s="27"/>
      <c r="C1368" s="27"/>
      <c r="D1368" s="27"/>
      <c r="E1368" s="27"/>
      <c r="F1368" s="27"/>
      <c r="G1368" s="27"/>
      <c r="H1368" s="27"/>
    </row>
    <row r="1369" spans="2:8" ht="15" x14ac:dyDescent="0.25">
      <c r="B1369" s="27"/>
      <c r="C1369" s="27"/>
      <c r="D1369" s="27"/>
      <c r="E1369" s="27"/>
      <c r="F1369" s="27"/>
      <c r="G1369" s="27"/>
      <c r="H1369" s="27"/>
    </row>
    <row r="1370" spans="2:8" ht="15" x14ac:dyDescent="0.25">
      <c r="B1370" s="27"/>
      <c r="C1370" s="27"/>
      <c r="D1370" s="27"/>
      <c r="E1370" s="27"/>
      <c r="F1370" s="27"/>
      <c r="G1370" s="27"/>
      <c r="H1370" s="27"/>
    </row>
    <row r="1371" spans="2:8" ht="15" x14ac:dyDescent="0.25">
      <c r="B1371" s="27"/>
      <c r="C1371" s="27"/>
      <c r="D1371" s="27"/>
      <c r="E1371" s="27"/>
      <c r="F1371" s="27"/>
      <c r="G1371" s="27"/>
      <c r="H1371" s="27"/>
    </row>
    <row r="1372" spans="2:8" ht="15" x14ac:dyDescent="0.25">
      <c r="B1372" s="27"/>
      <c r="C1372" s="27"/>
      <c r="D1372" s="27"/>
      <c r="E1372" s="27"/>
      <c r="F1372" s="27"/>
      <c r="G1372" s="27"/>
      <c r="H1372" s="27"/>
    </row>
    <row r="1373" spans="2:8" ht="15" x14ac:dyDescent="0.25">
      <c r="B1373" s="27"/>
      <c r="C1373" s="27"/>
      <c r="D1373" s="27"/>
      <c r="E1373" s="27"/>
      <c r="F1373" s="27"/>
      <c r="G1373" s="27"/>
      <c r="H1373" s="27"/>
    </row>
    <row r="1374" spans="2:8" ht="15" x14ac:dyDescent="0.25">
      <c r="B1374" s="27"/>
      <c r="C1374" s="27"/>
      <c r="D1374" s="27"/>
      <c r="E1374" s="27"/>
      <c r="F1374" s="27"/>
      <c r="G1374" s="27"/>
      <c r="H1374" s="27"/>
    </row>
    <row r="1375" spans="2:8" ht="15" x14ac:dyDescent="0.25">
      <c r="B1375" s="27"/>
      <c r="C1375" s="27"/>
      <c r="D1375" s="27"/>
      <c r="E1375" s="27"/>
      <c r="F1375" s="27"/>
      <c r="G1375" s="27"/>
      <c r="H1375" s="27"/>
    </row>
    <row r="1376" spans="2:8" ht="15" x14ac:dyDescent="0.25">
      <c r="B1376" s="27"/>
      <c r="C1376" s="27"/>
      <c r="D1376" s="27"/>
      <c r="E1376" s="27"/>
      <c r="F1376" s="27"/>
      <c r="G1376" s="27"/>
      <c r="H1376" s="27"/>
    </row>
    <row r="1377" spans="2:8" ht="15" x14ac:dyDescent="0.25">
      <c r="B1377" s="27"/>
      <c r="C1377" s="27"/>
      <c r="D1377" s="27"/>
      <c r="E1377" s="27"/>
      <c r="F1377" s="27"/>
      <c r="G1377" s="27"/>
      <c r="H1377" s="27"/>
    </row>
    <row r="1378" spans="2:8" ht="15" x14ac:dyDescent="0.25">
      <c r="B1378" s="27"/>
      <c r="C1378" s="27"/>
      <c r="D1378" s="27"/>
      <c r="E1378" s="27"/>
      <c r="F1378" s="27"/>
      <c r="G1378" s="27"/>
      <c r="H1378" s="27"/>
    </row>
    <row r="1379" spans="2:8" ht="15" x14ac:dyDescent="0.25">
      <c r="B1379" s="27"/>
      <c r="C1379" s="27"/>
      <c r="D1379" s="27"/>
      <c r="E1379" s="27"/>
      <c r="F1379" s="27"/>
      <c r="G1379" s="27"/>
      <c r="H1379" s="27"/>
    </row>
    <row r="1380" spans="2:8" ht="15" x14ac:dyDescent="0.25">
      <c r="B1380" s="27"/>
      <c r="C1380" s="27"/>
      <c r="D1380" s="27"/>
      <c r="E1380" s="27"/>
      <c r="F1380" s="27"/>
      <c r="G1380" s="27"/>
      <c r="H1380" s="27"/>
    </row>
    <row r="1381" spans="2:8" ht="15" x14ac:dyDescent="0.25">
      <c r="B1381" s="27"/>
      <c r="C1381" s="27"/>
      <c r="D1381" s="27"/>
      <c r="E1381" s="27"/>
      <c r="F1381" s="27"/>
      <c r="G1381" s="27"/>
      <c r="H1381" s="27"/>
    </row>
    <row r="1382" spans="2:8" ht="15" x14ac:dyDescent="0.25">
      <c r="B1382" s="27"/>
      <c r="C1382" s="27"/>
      <c r="D1382" s="27"/>
      <c r="E1382" s="27"/>
      <c r="F1382" s="27"/>
      <c r="G1382" s="27"/>
      <c r="H1382" s="27"/>
    </row>
    <row r="1383" spans="2:8" ht="15" x14ac:dyDescent="0.25">
      <c r="B1383" s="27"/>
      <c r="C1383" s="27"/>
      <c r="D1383" s="27"/>
      <c r="E1383" s="27"/>
      <c r="F1383" s="27"/>
      <c r="G1383" s="27"/>
      <c r="H1383" s="27"/>
    </row>
    <row r="1384" spans="2:8" ht="15" x14ac:dyDescent="0.25">
      <c r="B1384" s="27"/>
      <c r="C1384" s="27"/>
      <c r="D1384" s="27"/>
      <c r="E1384" s="27"/>
      <c r="F1384" s="27"/>
      <c r="G1384" s="27"/>
      <c r="H1384" s="27"/>
    </row>
    <row r="1385" spans="2:8" ht="15" x14ac:dyDescent="0.25">
      <c r="B1385" s="27"/>
      <c r="C1385" s="27"/>
      <c r="D1385" s="27"/>
      <c r="E1385" s="27"/>
      <c r="F1385" s="27"/>
      <c r="G1385" s="27"/>
      <c r="H1385" s="27"/>
    </row>
    <row r="1386" spans="2:8" ht="15" x14ac:dyDescent="0.25">
      <c r="B1386" s="27"/>
      <c r="C1386" s="27"/>
      <c r="D1386" s="27"/>
      <c r="E1386" s="27"/>
      <c r="F1386" s="27"/>
      <c r="G1386" s="27"/>
      <c r="H1386" s="27"/>
    </row>
    <row r="1387" spans="2:8" ht="15" x14ac:dyDescent="0.25">
      <c r="B1387" s="27"/>
      <c r="C1387" s="27"/>
      <c r="D1387" s="27"/>
      <c r="E1387" s="27"/>
      <c r="F1387" s="27"/>
      <c r="G1387" s="27"/>
      <c r="H1387" s="27"/>
    </row>
    <row r="1388" spans="2:8" ht="15" x14ac:dyDescent="0.25">
      <c r="B1388" s="27"/>
      <c r="C1388" s="27"/>
      <c r="D1388" s="27"/>
      <c r="E1388" s="27"/>
      <c r="F1388" s="27"/>
      <c r="G1388" s="27"/>
      <c r="H1388" s="27"/>
    </row>
    <row r="1389" spans="2:8" ht="15" x14ac:dyDescent="0.25">
      <c r="B1389" s="27"/>
      <c r="C1389" s="27"/>
      <c r="D1389" s="27"/>
      <c r="E1389" s="27"/>
      <c r="F1389" s="27"/>
      <c r="G1389" s="27"/>
      <c r="H1389" s="27"/>
    </row>
    <row r="1390" spans="2:8" ht="15" x14ac:dyDescent="0.25">
      <c r="B1390" s="27"/>
      <c r="C1390" s="27"/>
      <c r="D1390" s="27"/>
      <c r="E1390" s="27"/>
      <c r="F1390" s="27"/>
      <c r="G1390" s="27"/>
      <c r="H1390" s="27"/>
    </row>
    <row r="1391" spans="2:8" ht="15" x14ac:dyDescent="0.25">
      <c r="B1391" s="27"/>
      <c r="C1391" s="27"/>
      <c r="D1391" s="27"/>
      <c r="E1391" s="27"/>
      <c r="F1391" s="27"/>
      <c r="G1391" s="27"/>
      <c r="H1391" s="27"/>
    </row>
    <row r="1392" spans="2:8" ht="15" x14ac:dyDescent="0.25">
      <c r="B1392" s="27"/>
      <c r="C1392" s="27"/>
      <c r="D1392" s="27"/>
      <c r="E1392" s="27"/>
      <c r="F1392" s="27"/>
      <c r="G1392" s="27"/>
      <c r="H1392" s="27"/>
    </row>
    <row r="1393" spans="2:8" ht="15" x14ac:dyDescent="0.25">
      <c r="B1393" s="27"/>
      <c r="C1393" s="27"/>
      <c r="D1393" s="27"/>
      <c r="E1393" s="27"/>
      <c r="F1393" s="27"/>
      <c r="G1393" s="27"/>
      <c r="H1393" s="27"/>
    </row>
    <row r="1394" spans="2:8" ht="15" x14ac:dyDescent="0.25">
      <c r="B1394" s="27"/>
      <c r="C1394" s="27"/>
      <c r="D1394" s="27"/>
      <c r="E1394" s="27"/>
      <c r="F1394" s="27"/>
      <c r="G1394" s="27"/>
      <c r="H1394" s="27"/>
    </row>
    <row r="1395" spans="2:8" ht="15" x14ac:dyDescent="0.25">
      <c r="B1395" s="27"/>
      <c r="C1395" s="27"/>
      <c r="D1395" s="27"/>
      <c r="E1395" s="27"/>
      <c r="F1395" s="27"/>
      <c r="G1395" s="27"/>
      <c r="H1395" s="27"/>
    </row>
    <row r="1396" spans="2:8" ht="15" x14ac:dyDescent="0.25">
      <c r="B1396" s="27"/>
      <c r="C1396" s="27"/>
      <c r="D1396" s="27"/>
      <c r="E1396" s="27"/>
      <c r="F1396" s="27"/>
      <c r="G1396" s="27"/>
      <c r="H1396" s="27"/>
    </row>
    <row r="1397" spans="2:8" ht="15" x14ac:dyDescent="0.25">
      <c r="B1397" s="27"/>
      <c r="C1397" s="27"/>
      <c r="D1397" s="27"/>
      <c r="E1397" s="27"/>
      <c r="F1397" s="27"/>
      <c r="G1397" s="27"/>
      <c r="H1397" s="27"/>
    </row>
    <row r="1398" spans="2:8" ht="15" x14ac:dyDescent="0.25">
      <c r="B1398" s="27"/>
      <c r="C1398" s="27"/>
      <c r="D1398" s="27"/>
      <c r="E1398" s="27"/>
      <c r="F1398" s="27"/>
      <c r="G1398" s="27"/>
      <c r="H1398" s="27"/>
    </row>
    <row r="1399" spans="2:8" ht="15" x14ac:dyDescent="0.25">
      <c r="B1399" s="27"/>
      <c r="C1399" s="27"/>
      <c r="D1399" s="27"/>
      <c r="E1399" s="27"/>
      <c r="F1399" s="27"/>
      <c r="G1399" s="27"/>
      <c r="H1399" s="27"/>
    </row>
    <row r="1400" spans="2:8" ht="15" x14ac:dyDescent="0.25">
      <c r="B1400" s="27"/>
      <c r="C1400" s="27"/>
      <c r="D1400" s="27"/>
      <c r="E1400" s="27"/>
      <c r="F1400" s="27"/>
      <c r="G1400" s="27"/>
      <c r="H1400" s="27"/>
    </row>
    <row r="1401" spans="2:8" ht="15" x14ac:dyDescent="0.25">
      <c r="B1401" s="27"/>
      <c r="C1401" s="27"/>
      <c r="D1401" s="27"/>
      <c r="E1401" s="27"/>
      <c r="F1401" s="27"/>
      <c r="G1401" s="27"/>
      <c r="H1401" s="27"/>
    </row>
    <row r="1402" spans="2:8" ht="15" x14ac:dyDescent="0.25">
      <c r="B1402" s="27"/>
      <c r="C1402" s="27"/>
      <c r="D1402" s="27"/>
      <c r="E1402" s="27"/>
      <c r="F1402" s="27"/>
      <c r="G1402" s="27"/>
      <c r="H1402" s="27"/>
    </row>
    <row r="1403" spans="2:8" ht="15" x14ac:dyDescent="0.25">
      <c r="B1403" s="27"/>
      <c r="C1403" s="27"/>
      <c r="D1403" s="27"/>
      <c r="E1403" s="27"/>
      <c r="F1403" s="27"/>
      <c r="G1403" s="27"/>
      <c r="H1403" s="27"/>
    </row>
    <row r="1404" spans="2:8" ht="15" x14ac:dyDescent="0.25">
      <c r="B1404" s="27"/>
      <c r="C1404" s="27"/>
      <c r="D1404" s="27"/>
      <c r="E1404" s="27"/>
      <c r="F1404" s="27"/>
      <c r="G1404" s="27"/>
      <c r="H1404" s="27"/>
    </row>
    <row r="1405" spans="2:8" ht="15" x14ac:dyDescent="0.25">
      <c r="B1405" s="27"/>
      <c r="C1405" s="27"/>
      <c r="D1405" s="27"/>
      <c r="E1405" s="27"/>
      <c r="F1405" s="27"/>
      <c r="G1405" s="27"/>
      <c r="H1405" s="27"/>
    </row>
    <row r="1406" spans="2:8" ht="15" x14ac:dyDescent="0.25">
      <c r="B1406" s="27"/>
      <c r="C1406" s="27"/>
      <c r="D1406" s="27"/>
      <c r="E1406" s="27"/>
      <c r="F1406" s="27"/>
      <c r="G1406" s="27"/>
      <c r="H1406" s="27"/>
    </row>
    <row r="1407" spans="2:8" ht="15" x14ac:dyDescent="0.25">
      <c r="B1407" s="27"/>
      <c r="C1407" s="27"/>
      <c r="D1407" s="27"/>
      <c r="E1407" s="27"/>
      <c r="F1407" s="27"/>
      <c r="G1407" s="27"/>
      <c r="H1407" s="27"/>
    </row>
    <row r="1408" spans="2:8" ht="15" x14ac:dyDescent="0.25">
      <c r="B1408" s="27"/>
      <c r="C1408" s="27"/>
      <c r="D1408" s="27"/>
      <c r="E1408" s="27"/>
      <c r="F1408" s="27"/>
      <c r="G1408" s="27"/>
      <c r="H1408" s="27"/>
    </row>
    <row r="1409" spans="2:8" ht="15" x14ac:dyDescent="0.25">
      <c r="B1409" s="27"/>
      <c r="C1409" s="27"/>
      <c r="D1409" s="27"/>
      <c r="E1409" s="27"/>
      <c r="F1409" s="27"/>
      <c r="G1409" s="27"/>
      <c r="H1409" s="27"/>
    </row>
    <row r="1410" spans="2:8" ht="15" x14ac:dyDescent="0.25">
      <c r="B1410" s="27"/>
      <c r="C1410" s="27"/>
      <c r="D1410" s="27"/>
      <c r="E1410" s="27"/>
      <c r="F1410" s="27"/>
      <c r="G1410" s="27"/>
      <c r="H1410" s="27"/>
    </row>
    <row r="1411" spans="2:8" ht="15" x14ac:dyDescent="0.25">
      <c r="B1411" s="27"/>
      <c r="C1411" s="27"/>
      <c r="D1411" s="27"/>
      <c r="E1411" s="27"/>
      <c r="F1411" s="27"/>
      <c r="G1411" s="27"/>
      <c r="H1411" s="27"/>
    </row>
    <row r="1412" spans="2:8" ht="15" x14ac:dyDescent="0.25">
      <c r="B1412" s="27"/>
      <c r="C1412" s="27"/>
      <c r="D1412" s="27"/>
      <c r="E1412" s="27"/>
      <c r="F1412" s="27"/>
      <c r="G1412" s="27"/>
      <c r="H1412" s="27"/>
    </row>
    <row r="1413" spans="2:8" ht="15" x14ac:dyDescent="0.25">
      <c r="B1413" s="27"/>
      <c r="C1413" s="27"/>
      <c r="D1413" s="27"/>
      <c r="E1413" s="27"/>
      <c r="F1413" s="27"/>
      <c r="G1413" s="27"/>
      <c r="H1413" s="27"/>
    </row>
    <row r="1414" spans="2:8" ht="15" x14ac:dyDescent="0.25">
      <c r="B1414" s="27"/>
      <c r="C1414" s="27"/>
      <c r="D1414" s="27"/>
      <c r="E1414" s="27"/>
      <c r="F1414" s="27"/>
      <c r="G1414" s="27"/>
      <c r="H1414" s="27"/>
    </row>
    <row r="1415" spans="2:8" ht="15" x14ac:dyDescent="0.25">
      <c r="B1415" s="27"/>
      <c r="C1415" s="27"/>
      <c r="D1415" s="27"/>
      <c r="E1415" s="27"/>
      <c r="F1415" s="27"/>
      <c r="G1415" s="27"/>
      <c r="H1415" s="27"/>
    </row>
    <row r="1416" spans="2:8" ht="15" x14ac:dyDescent="0.25">
      <c r="B1416" s="27"/>
      <c r="C1416" s="27"/>
      <c r="D1416" s="27"/>
      <c r="E1416" s="27"/>
      <c r="F1416" s="27"/>
      <c r="G1416" s="27"/>
      <c r="H1416" s="27"/>
    </row>
    <row r="1417" spans="2:8" ht="15" x14ac:dyDescent="0.25">
      <c r="B1417" s="27"/>
      <c r="C1417" s="27"/>
      <c r="D1417" s="27"/>
      <c r="E1417" s="27"/>
      <c r="F1417" s="27"/>
      <c r="G1417" s="27"/>
      <c r="H1417" s="27"/>
    </row>
    <row r="1418" spans="2:8" ht="15" x14ac:dyDescent="0.25">
      <c r="B1418" s="27"/>
      <c r="C1418" s="27"/>
      <c r="D1418" s="27"/>
      <c r="E1418" s="27"/>
      <c r="F1418" s="27"/>
      <c r="G1418" s="27"/>
      <c r="H1418" s="27"/>
    </row>
    <row r="1419" spans="2:8" ht="15" x14ac:dyDescent="0.25">
      <c r="B1419" s="27"/>
      <c r="C1419" s="27"/>
      <c r="D1419" s="27"/>
      <c r="E1419" s="27"/>
      <c r="F1419" s="27"/>
      <c r="G1419" s="27"/>
      <c r="H1419" s="27"/>
    </row>
    <row r="1420" spans="2:8" ht="15" x14ac:dyDescent="0.25">
      <c r="B1420" s="27"/>
      <c r="C1420" s="27"/>
      <c r="D1420" s="27"/>
      <c r="E1420" s="27"/>
      <c r="F1420" s="27"/>
      <c r="G1420" s="27"/>
      <c r="H1420" s="27"/>
    </row>
    <row r="1421" spans="2:8" ht="15" x14ac:dyDescent="0.25">
      <c r="B1421" s="27"/>
      <c r="C1421" s="27"/>
      <c r="D1421" s="27"/>
      <c r="E1421" s="27"/>
      <c r="F1421" s="27"/>
      <c r="G1421" s="27"/>
      <c r="H1421" s="27"/>
    </row>
    <row r="1422" spans="2:8" ht="15" x14ac:dyDescent="0.25">
      <c r="B1422" s="27"/>
      <c r="C1422" s="27"/>
      <c r="D1422" s="27"/>
      <c r="E1422" s="27"/>
      <c r="F1422" s="27"/>
      <c r="G1422" s="27"/>
      <c r="H1422" s="27"/>
    </row>
    <row r="1423" spans="2:8" ht="15" x14ac:dyDescent="0.25">
      <c r="B1423" s="27"/>
      <c r="C1423" s="27"/>
      <c r="D1423" s="27"/>
      <c r="E1423" s="27"/>
      <c r="F1423" s="27"/>
      <c r="G1423" s="27"/>
      <c r="H1423" s="27"/>
    </row>
    <row r="1424" spans="2:8" ht="15" x14ac:dyDescent="0.25">
      <c r="B1424" s="27"/>
      <c r="C1424" s="27"/>
      <c r="D1424" s="27"/>
      <c r="E1424" s="27"/>
      <c r="F1424" s="27"/>
      <c r="G1424" s="27"/>
      <c r="H1424" s="27"/>
    </row>
    <row r="1425" spans="2:8" ht="15" x14ac:dyDescent="0.25">
      <c r="B1425" s="27"/>
      <c r="C1425" s="27"/>
      <c r="D1425" s="27"/>
      <c r="E1425" s="27"/>
      <c r="F1425" s="27"/>
      <c r="G1425" s="27"/>
      <c r="H1425" s="27"/>
    </row>
    <row r="1426" spans="2:8" ht="15" x14ac:dyDescent="0.25">
      <c r="B1426" s="27"/>
      <c r="C1426" s="27"/>
      <c r="D1426" s="27"/>
      <c r="E1426" s="27"/>
      <c r="F1426" s="27"/>
      <c r="G1426" s="27"/>
      <c r="H1426" s="27"/>
    </row>
    <row r="1427" spans="2:8" ht="15" x14ac:dyDescent="0.25">
      <c r="B1427" s="27"/>
      <c r="C1427" s="27"/>
      <c r="D1427" s="27"/>
      <c r="E1427" s="27"/>
      <c r="F1427" s="27"/>
      <c r="G1427" s="27"/>
      <c r="H1427" s="27"/>
    </row>
    <row r="1428" spans="2:8" ht="15" x14ac:dyDescent="0.25">
      <c r="B1428" s="27"/>
      <c r="C1428" s="27"/>
      <c r="D1428" s="27"/>
      <c r="E1428" s="27"/>
      <c r="F1428" s="27"/>
      <c r="G1428" s="27"/>
      <c r="H1428" s="27"/>
    </row>
    <row r="1429" spans="2:8" ht="15" x14ac:dyDescent="0.25">
      <c r="B1429" s="27"/>
      <c r="C1429" s="27"/>
      <c r="D1429" s="27"/>
      <c r="E1429" s="27"/>
      <c r="F1429" s="27"/>
      <c r="G1429" s="27"/>
      <c r="H1429" s="27"/>
    </row>
    <row r="1430" spans="2:8" ht="15" x14ac:dyDescent="0.25">
      <c r="B1430" s="27"/>
      <c r="C1430" s="27"/>
      <c r="D1430" s="27"/>
      <c r="E1430" s="27"/>
      <c r="F1430" s="27"/>
      <c r="G1430" s="27"/>
      <c r="H1430" s="27"/>
    </row>
    <row r="1431" spans="2:8" ht="15" x14ac:dyDescent="0.25">
      <c r="B1431" s="27"/>
      <c r="C1431" s="27"/>
      <c r="D1431" s="27"/>
      <c r="E1431" s="27"/>
      <c r="F1431" s="27"/>
      <c r="G1431" s="27"/>
      <c r="H1431" s="27"/>
    </row>
    <row r="1432" spans="2:8" ht="15" x14ac:dyDescent="0.25">
      <c r="B1432" s="27"/>
      <c r="C1432" s="27"/>
      <c r="D1432" s="27"/>
      <c r="E1432" s="27"/>
      <c r="F1432" s="27"/>
      <c r="G1432" s="27"/>
      <c r="H1432" s="27"/>
    </row>
    <row r="1433" spans="2:8" ht="15" x14ac:dyDescent="0.25">
      <c r="B1433" s="27"/>
      <c r="C1433" s="27"/>
      <c r="D1433" s="27"/>
      <c r="E1433" s="27"/>
      <c r="F1433" s="27"/>
      <c r="G1433" s="27"/>
      <c r="H1433" s="27"/>
    </row>
    <row r="1434" spans="2:8" ht="15" x14ac:dyDescent="0.25">
      <c r="B1434" s="27"/>
      <c r="C1434" s="27"/>
      <c r="D1434" s="27"/>
      <c r="E1434" s="27"/>
      <c r="F1434" s="27"/>
      <c r="G1434" s="27"/>
      <c r="H1434" s="27"/>
    </row>
    <row r="1435" spans="2:8" ht="15" x14ac:dyDescent="0.25">
      <c r="B1435" s="27"/>
      <c r="C1435" s="27"/>
      <c r="D1435" s="27"/>
      <c r="E1435" s="27"/>
      <c r="F1435" s="27"/>
      <c r="G1435" s="27"/>
      <c r="H1435" s="27"/>
    </row>
    <row r="1436" spans="2:8" ht="15" x14ac:dyDescent="0.25">
      <c r="B1436" s="27"/>
      <c r="C1436" s="27"/>
      <c r="D1436" s="27"/>
      <c r="E1436" s="27"/>
      <c r="F1436" s="27"/>
      <c r="G1436" s="27"/>
      <c r="H1436" s="27"/>
    </row>
    <row r="1437" spans="2:8" ht="15" x14ac:dyDescent="0.25">
      <c r="B1437" s="27"/>
      <c r="C1437" s="27"/>
      <c r="D1437" s="27"/>
      <c r="E1437" s="27"/>
      <c r="F1437" s="27"/>
      <c r="G1437" s="27"/>
      <c r="H1437" s="27"/>
    </row>
    <row r="1438" spans="2:8" ht="15" x14ac:dyDescent="0.25">
      <c r="B1438" s="27"/>
      <c r="C1438" s="27"/>
      <c r="D1438" s="27"/>
      <c r="E1438" s="27"/>
      <c r="F1438" s="27"/>
      <c r="G1438" s="27"/>
      <c r="H1438" s="27"/>
    </row>
    <row r="1439" spans="2:8" ht="15" x14ac:dyDescent="0.25">
      <c r="B1439" s="27"/>
      <c r="C1439" s="27"/>
      <c r="D1439" s="27"/>
      <c r="E1439" s="27"/>
      <c r="F1439" s="27"/>
      <c r="G1439" s="27"/>
      <c r="H1439" s="27"/>
    </row>
    <row r="1440" spans="2:8" ht="15" x14ac:dyDescent="0.25">
      <c r="B1440" s="27"/>
      <c r="C1440" s="27"/>
      <c r="D1440" s="27"/>
      <c r="E1440" s="27"/>
      <c r="F1440" s="27"/>
      <c r="G1440" s="27"/>
      <c r="H1440" s="27"/>
    </row>
    <row r="1441" spans="2:8" ht="15" x14ac:dyDescent="0.25">
      <c r="B1441" s="27"/>
      <c r="C1441" s="27"/>
      <c r="D1441" s="27"/>
      <c r="E1441" s="27"/>
      <c r="F1441" s="27"/>
      <c r="G1441" s="27"/>
      <c r="H1441" s="27"/>
    </row>
    <row r="1442" spans="2:8" ht="15" x14ac:dyDescent="0.25">
      <c r="B1442" s="27"/>
      <c r="C1442" s="27"/>
      <c r="D1442" s="27"/>
      <c r="E1442" s="27"/>
      <c r="F1442" s="27"/>
      <c r="G1442" s="27"/>
      <c r="H1442" s="27"/>
    </row>
    <row r="1443" spans="2:8" ht="15" x14ac:dyDescent="0.25">
      <c r="B1443" s="27"/>
      <c r="C1443" s="27"/>
      <c r="D1443" s="27"/>
      <c r="E1443" s="27"/>
      <c r="F1443" s="27"/>
      <c r="G1443" s="27"/>
      <c r="H1443" s="27"/>
    </row>
    <row r="1444" spans="2:8" ht="15" x14ac:dyDescent="0.25">
      <c r="B1444" s="27"/>
      <c r="C1444" s="27"/>
      <c r="D1444" s="27"/>
      <c r="E1444" s="27"/>
      <c r="F1444" s="27"/>
      <c r="G1444" s="27"/>
      <c r="H1444" s="27"/>
    </row>
    <row r="1445" spans="2:8" ht="15" x14ac:dyDescent="0.25">
      <c r="B1445" s="27"/>
      <c r="C1445" s="27"/>
      <c r="D1445" s="27"/>
      <c r="E1445" s="27"/>
      <c r="F1445" s="27"/>
      <c r="G1445" s="27"/>
      <c r="H1445" s="27"/>
    </row>
    <row r="1446" spans="2:8" ht="15" x14ac:dyDescent="0.25">
      <c r="B1446" s="27"/>
      <c r="C1446" s="27"/>
      <c r="D1446" s="27"/>
      <c r="E1446" s="27"/>
      <c r="F1446" s="27"/>
      <c r="G1446" s="27"/>
      <c r="H1446" s="27"/>
    </row>
    <row r="1447" spans="2:8" ht="15" x14ac:dyDescent="0.25">
      <c r="B1447" s="27"/>
      <c r="C1447" s="27"/>
      <c r="D1447" s="27"/>
      <c r="E1447" s="27"/>
      <c r="F1447" s="27"/>
      <c r="G1447" s="27"/>
      <c r="H1447" s="27"/>
    </row>
    <row r="1448" spans="2:8" ht="15" x14ac:dyDescent="0.25">
      <c r="B1448" s="27"/>
      <c r="C1448" s="27"/>
      <c r="D1448" s="27"/>
      <c r="E1448" s="27"/>
      <c r="F1448" s="27"/>
      <c r="G1448" s="27"/>
      <c r="H1448" s="27"/>
    </row>
    <row r="1449" spans="2:8" ht="15" x14ac:dyDescent="0.25">
      <c r="B1449" s="27"/>
      <c r="C1449" s="27"/>
      <c r="D1449" s="27"/>
      <c r="E1449" s="27"/>
      <c r="F1449" s="27"/>
      <c r="G1449" s="27"/>
      <c r="H1449" s="27"/>
    </row>
    <row r="1450" spans="2:8" ht="15" x14ac:dyDescent="0.25">
      <c r="B1450" s="27"/>
      <c r="C1450" s="27"/>
      <c r="D1450" s="27"/>
      <c r="E1450" s="27"/>
      <c r="F1450" s="27"/>
      <c r="G1450" s="27"/>
      <c r="H1450" s="27"/>
    </row>
    <row r="1451" spans="2:8" ht="15" x14ac:dyDescent="0.25">
      <c r="B1451" s="27"/>
      <c r="C1451" s="27"/>
      <c r="D1451" s="27"/>
      <c r="E1451" s="27"/>
      <c r="F1451" s="27"/>
      <c r="G1451" s="27"/>
      <c r="H1451" s="27"/>
    </row>
    <row r="1452" spans="2:8" ht="15" x14ac:dyDescent="0.25">
      <c r="B1452" s="27"/>
      <c r="C1452" s="27"/>
      <c r="D1452" s="27"/>
      <c r="E1452" s="27"/>
      <c r="F1452" s="27"/>
      <c r="G1452" s="27"/>
      <c r="H1452" s="27"/>
    </row>
    <row r="1453" spans="2:8" ht="15" x14ac:dyDescent="0.25">
      <c r="B1453" s="27"/>
      <c r="C1453" s="27"/>
      <c r="D1453" s="27"/>
      <c r="E1453" s="27"/>
      <c r="F1453" s="27"/>
      <c r="G1453" s="27"/>
      <c r="H1453" s="27"/>
    </row>
    <row r="1454" spans="2:8" ht="15" x14ac:dyDescent="0.25">
      <c r="B1454" s="27"/>
      <c r="C1454" s="27"/>
      <c r="D1454" s="27"/>
      <c r="E1454" s="27"/>
      <c r="F1454" s="27"/>
      <c r="G1454" s="27"/>
      <c r="H1454" s="27"/>
    </row>
    <row r="1455" spans="2:8" ht="15" x14ac:dyDescent="0.25">
      <c r="B1455" s="27"/>
      <c r="C1455" s="27"/>
      <c r="D1455" s="27"/>
      <c r="E1455" s="27"/>
      <c r="F1455" s="27"/>
      <c r="G1455" s="27"/>
      <c r="H1455" s="27"/>
    </row>
    <row r="1456" spans="2:8" ht="15" x14ac:dyDescent="0.25">
      <c r="B1456" s="27"/>
      <c r="C1456" s="27"/>
      <c r="D1456" s="27"/>
      <c r="E1456" s="27"/>
      <c r="F1456" s="27"/>
      <c r="G1456" s="27"/>
      <c r="H1456" s="27"/>
    </row>
    <row r="1457" spans="2:8" ht="15" x14ac:dyDescent="0.25">
      <c r="B1457" s="27"/>
      <c r="C1457" s="27"/>
      <c r="D1457" s="27"/>
      <c r="E1457" s="27"/>
      <c r="F1457" s="27"/>
      <c r="G1457" s="27"/>
      <c r="H1457" s="27"/>
    </row>
    <row r="1458" spans="2:8" ht="15" x14ac:dyDescent="0.25">
      <c r="B1458" s="27"/>
      <c r="C1458" s="27"/>
      <c r="D1458" s="27"/>
      <c r="E1458" s="27"/>
      <c r="F1458" s="27"/>
      <c r="G1458" s="27"/>
      <c r="H1458" s="27"/>
    </row>
    <row r="1459" spans="2:8" ht="15" x14ac:dyDescent="0.25">
      <c r="B1459" s="27"/>
      <c r="C1459" s="27"/>
      <c r="D1459" s="27"/>
      <c r="E1459" s="27"/>
      <c r="F1459" s="27"/>
      <c r="G1459" s="27"/>
      <c r="H1459" s="27"/>
    </row>
    <row r="1460" spans="2:8" ht="15" x14ac:dyDescent="0.25">
      <c r="B1460" s="27"/>
      <c r="C1460" s="27"/>
      <c r="D1460" s="27"/>
      <c r="E1460" s="27"/>
      <c r="F1460" s="27"/>
      <c r="G1460" s="27"/>
      <c r="H1460" s="27"/>
    </row>
    <row r="1461" spans="2:8" ht="15" x14ac:dyDescent="0.25">
      <c r="B1461" s="27"/>
      <c r="C1461" s="27"/>
      <c r="D1461" s="27"/>
      <c r="E1461" s="27"/>
      <c r="F1461" s="27"/>
      <c r="G1461" s="27"/>
      <c r="H1461" s="27"/>
    </row>
    <row r="1462" spans="2:8" ht="15" x14ac:dyDescent="0.25">
      <c r="B1462" s="27"/>
      <c r="C1462" s="27"/>
      <c r="D1462" s="27"/>
      <c r="E1462" s="27"/>
      <c r="F1462" s="27"/>
      <c r="G1462" s="27"/>
      <c r="H1462" s="27"/>
    </row>
    <row r="1463" spans="2:8" ht="15" x14ac:dyDescent="0.25">
      <c r="B1463" s="27"/>
      <c r="C1463" s="27"/>
      <c r="D1463" s="27"/>
      <c r="E1463" s="27"/>
      <c r="F1463" s="27"/>
      <c r="G1463" s="27"/>
      <c r="H1463" s="27"/>
    </row>
    <row r="1464" spans="2:8" ht="15" x14ac:dyDescent="0.25">
      <c r="B1464" s="27"/>
      <c r="C1464" s="27"/>
      <c r="D1464" s="27"/>
      <c r="E1464" s="27"/>
      <c r="F1464" s="27"/>
      <c r="G1464" s="27"/>
      <c r="H1464" s="27"/>
    </row>
    <row r="1465" spans="2:8" ht="15" x14ac:dyDescent="0.25">
      <c r="B1465" s="27"/>
      <c r="C1465" s="27"/>
      <c r="D1465" s="27"/>
      <c r="E1465" s="27"/>
      <c r="F1465" s="27"/>
      <c r="G1465" s="27"/>
      <c r="H1465" s="27"/>
    </row>
    <row r="1466" spans="2:8" ht="15" x14ac:dyDescent="0.25">
      <c r="B1466" s="27"/>
      <c r="C1466" s="27"/>
      <c r="D1466" s="27"/>
      <c r="E1466" s="27"/>
      <c r="F1466" s="27"/>
      <c r="G1466" s="27"/>
      <c r="H1466" s="27"/>
    </row>
    <row r="1467" spans="2:8" ht="15" x14ac:dyDescent="0.25">
      <c r="B1467" s="27"/>
      <c r="C1467" s="27"/>
      <c r="D1467" s="27"/>
      <c r="E1467" s="27"/>
      <c r="F1467" s="27"/>
      <c r="G1467" s="27"/>
      <c r="H1467" s="27"/>
    </row>
    <row r="1468" spans="2:8" ht="15" x14ac:dyDescent="0.25">
      <c r="B1468" s="27"/>
      <c r="C1468" s="27"/>
      <c r="D1468" s="27"/>
      <c r="E1468" s="27"/>
      <c r="F1468" s="27"/>
      <c r="G1468" s="27"/>
      <c r="H1468" s="27"/>
    </row>
    <row r="1469" spans="2:8" ht="15" x14ac:dyDescent="0.25">
      <c r="B1469" s="27"/>
      <c r="C1469" s="27"/>
      <c r="D1469" s="27"/>
      <c r="E1469" s="27"/>
      <c r="F1469" s="27"/>
      <c r="G1469" s="27"/>
      <c r="H1469" s="27"/>
    </row>
    <row r="1470" spans="2:8" ht="15" x14ac:dyDescent="0.25">
      <c r="B1470" s="27"/>
      <c r="C1470" s="27"/>
      <c r="D1470" s="27"/>
      <c r="E1470" s="27"/>
      <c r="F1470" s="27"/>
      <c r="G1470" s="27"/>
      <c r="H1470" s="27"/>
    </row>
    <row r="1471" spans="2:8" ht="15" x14ac:dyDescent="0.25">
      <c r="B1471" s="27"/>
      <c r="C1471" s="27"/>
      <c r="D1471" s="27"/>
      <c r="E1471" s="27"/>
      <c r="F1471" s="27"/>
      <c r="G1471" s="27"/>
      <c r="H1471" s="27"/>
    </row>
    <row r="1472" spans="2:8" ht="15" x14ac:dyDescent="0.25">
      <c r="B1472" s="27"/>
      <c r="C1472" s="27"/>
      <c r="D1472" s="27"/>
      <c r="E1472" s="27"/>
      <c r="F1472" s="27"/>
      <c r="G1472" s="27"/>
      <c r="H1472" s="27"/>
    </row>
    <row r="1473" spans="2:8" ht="15" x14ac:dyDescent="0.25">
      <c r="B1473" s="27"/>
      <c r="C1473" s="27"/>
      <c r="D1473" s="27"/>
      <c r="E1473" s="27"/>
      <c r="F1473" s="27"/>
      <c r="G1473" s="27"/>
      <c r="H1473" s="27"/>
    </row>
    <row r="1474" spans="2:8" ht="15" x14ac:dyDescent="0.25">
      <c r="B1474" s="27"/>
      <c r="C1474" s="27"/>
      <c r="D1474" s="27"/>
      <c r="E1474" s="27"/>
      <c r="F1474" s="27"/>
      <c r="G1474" s="27"/>
      <c r="H1474" s="27"/>
    </row>
    <row r="1475" spans="2:8" ht="15" x14ac:dyDescent="0.25">
      <c r="B1475" s="27"/>
      <c r="C1475" s="27"/>
      <c r="D1475" s="27"/>
      <c r="E1475" s="27"/>
      <c r="F1475" s="27"/>
      <c r="G1475" s="27"/>
      <c r="H1475" s="27"/>
    </row>
    <row r="1476" spans="2:8" ht="15" x14ac:dyDescent="0.25">
      <c r="B1476" s="27"/>
      <c r="C1476" s="27"/>
      <c r="D1476" s="27"/>
      <c r="E1476" s="27"/>
      <c r="F1476" s="27"/>
      <c r="G1476" s="27"/>
      <c r="H1476" s="27"/>
    </row>
    <row r="1477" spans="2:8" ht="15" x14ac:dyDescent="0.25">
      <c r="B1477" s="27"/>
      <c r="C1477" s="27"/>
      <c r="D1477" s="27"/>
      <c r="E1477" s="27"/>
      <c r="F1477" s="27"/>
      <c r="G1477" s="27"/>
      <c r="H1477" s="27"/>
    </row>
    <row r="1478" spans="2:8" ht="15" x14ac:dyDescent="0.25">
      <c r="B1478" s="27"/>
      <c r="C1478" s="27"/>
      <c r="D1478" s="27"/>
      <c r="E1478" s="27"/>
      <c r="F1478" s="27"/>
      <c r="G1478" s="27"/>
      <c r="H1478" s="27"/>
    </row>
    <row r="1479" spans="2:8" ht="15" x14ac:dyDescent="0.25">
      <c r="B1479" s="27"/>
      <c r="C1479" s="27"/>
      <c r="D1479" s="27"/>
      <c r="E1479" s="27"/>
      <c r="F1479" s="27"/>
      <c r="G1479" s="27"/>
      <c r="H1479" s="27"/>
    </row>
    <row r="1480" spans="2:8" ht="15" x14ac:dyDescent="0.25">
      <c r="B1480" s="27"/>
      <c r="C1480" s="27"/>
      <c r="D1480" s="27"/>
      <c r="E1480" s="27"/>
      <c r="F1480" s="27"/>
      <c r="G1480" s="27"/>
      <c r="H1480" s="27"/>
    </row>
    <row r="1481" spans="2:8" ht="15" x14ac:dyDescent="0.25">
      <c r="B1481" s="27"/>
      <c r="C1481" s="27"/>
      <c r="D1481" s="27"/>
      <c r="E1481" s="27"/>
      <c r="F1481" s="27"/>
      <c r="G1481" s="27"/>
      <c r="H1481" s="27"/>
    </row>
    <row r="1482" spans="2:8" ht="15" x14ac:dyDescent="0.25">
      <c r="B1482" s="27"/>
      <c r="C1482" s="27"/>
      <c r="D1482" s="27"/>
      <c r="E1482" s="27"/>
      <c r="F1482" s="27"/>
      <c r="G1482" s="27"/>
      <c r="H1482" s="27"/>
    </row>
    <row r="1483" spans="2:8" ht="15" x14ac:dyDescent="0.25">
      <c r="B1483" s="27"/>
      <c r="C1483" s="27"/>
      <c r="D1483" s="27"/>
      <c r="E1483" s="27"/>
      <c r="F1483" s="27"/>
      <c r="G1483" s="27"/>
      <c r="H1483" s="27"/>
    </row>
    <row r="1484" spans="2:8" ht="15" x14ac:dyDescent="0.25">
      <c r="B1484" s="27"/>
      <c r="C1484" s="27"/>
      <c r="D1484" s="27"/>
      <c r="E1484" s="27"/>
      <c r="F1484" s="27"/>
      <c r="G1484" s="27"/>
      <c r="H1484" s="27"/>
    </row>
    <row r="1485" spans="2:8" ht="15" x14ac:dyDescent="0.25">
      <c r="B1485" s="27"/>
      <c r="C1485" s="27"/>
      <c r="D1485" s="27"/>
      <c r="E1485" s="27"/>
      <c r="F1485" s="27"/>
      <c r="G1485" s="27"/>
      <c r="H1485" s="27"/>
    </row>
    <row r="1486" spans="2:8" ht="15" x14ac:dyDescent="0.25">
      <c r="B1486" s="27"/>
      <c r="C1486" s="27"/>
      <c r="D1486" s="27"/>
      <c r="E1486" s="27"/>
      <c r="F1486" s="27"/>
      <c r="G1486" s="27"/>
      <c r="H1486" s="27"/>
    </row>
    <row r="1487" spans="2:8" ht="15" x14ac:dyDescent="0.25">
      <c r="B1487" s="27"/>
      <c r="C1487" s="27"/>
      <c r="D1487" s="27"/>
      <c r="E1487" s="27"/>
      <c r="F1487" s="27"/>
      <c r="G1487" s="27"/>
      <c r="H1487" s="27"/>
    </row>
    <row r="1488" spans="2:8" ht="15" x14ac:dyDescent="0.25">
      <c r="B1488" s="27"/>
      <c r="C1488" s="27"/>
      <c r="D1488" s="27"/>
      <c r="E1488" s="27"/>
      <c r="F1488" s="27"/>
      <c r="G1488" s="27"/>
      <c r="H1488" s="27"/>
    </row>
    <row r="1489" spans="2:8" ht="15" x14ac:dyDescent="0.25">
      <c r="B1489" s="27"/>
      <c r="C1489" s="27"/>
      <c r="D1489" s="27"/>
      <c r="E1489" s="27"/>
      <c r="F1489" s="27"/>
      <c r="G1489" s="27"/>
      <c r="H1489" s="27"/>
    </row>
    <row r="1490" spans="2:8" ht="15" x14ac:dyDescent="0.25">
      <c r="B1490" s="27"/>
      <c r="C1490" s="27"/>
      <c r="D1490" s="27"/>
      <c r="E1490" s="27"/>
      <c r="F1490" s="27"/>
      <c r="G1490" s="27"/>
      <c r="H1490" s="27"/>
    </row>
    <row r="1491" spans="2:8" ht="15" x14ac:dyDescent="0.25">
      <c r="B1491" s="27"/>
      <c r="C1491" s="27"/>
      <c r="D1491" s="27"/>
      <c r="E1491" s="27"/>
      <c r="F1491" s="27"/>
      <c r="G1491" s="27"/>
      <c r="H1491" s="27"/>
    </row>
    <row r="1492" spans="2:8" ht="15" x14ac:dyDescent="0.25">
      <c r="B1492" s="27"/>
      <c r="C1492" s="27"/>
      <c r="D1492" s="27"/>
      <c r="E1492" s="27"/>
      <c r="F1492" s="27"/>
      <c r="G1492" s="27"/>
      <c r="H1492" s="27"/>
    </row>
    <row r="1493" spans="2:8" ht="15" x14ac:dyDescent="0.25">
      <c r="B1493" s="27"/>
      <c r="C1493" s="27"/>
      <c r="D1493" s="27"/>
      <c r="E1493" s="27"/>
      <c r="F1493" s="27"/>
      <c r="G1493" s="27"/>
      <c r="H1493" s="27"/>
    </row>
    <row r="1494" spans="2:8" ht="15" x14ac:dyDescent="0.25">
      <c r="B1494" s="27"/>
      <c r="C1494" s="27"/>
      <c r="D1494" s="27"/>
      <c r="E1494" s="27"/>
      <c r="F1494" s="27"/>
      <c r="G1494" s="27"/>
      <c r="H1494" s="27"/>
    </row>
    <row r="1495" spans="2:8" ht="15" x14ac:dyDescent="0.25">
      <c r="B1495" s="27"/>
      <c r="C1495" s="27"/>
      <c r="D1495" s="27"/>
      <c r="E1495" s="27"/>
      <c r="F1495" s="27"/>
      <c r="G1495" s="27"/>
      <c r="H1495" s="27"/>
    </row>
    <row r="1496" spans="2:8" ht="15" x14ac:dyDescent="0.25">
      <c r="B1496" s="27"/>
      <c r="C1496" s="27"/>
      <c r="D1496" s="27"/>
      <c r="E1496" s="27"/>
      <c r="F1496" s="27"/>
      <c r="G1496" s="27"/>
      <c r="H1496" s="27"/>
    </row>
    <row r="1497" spans="2:8" ht="15" x14ac:dyDescent="0.25">
      <c r="B1497" s="27"/>
      <c r="C1497" s="27"/>
      <c r="D1497" s="27"/>
      <c r="E1497" s="27"/>
      <c r="F1497" s="27"/>
      <c r="G1497" s="27"/>
      <c r="H1497" s="27"/>
    </row>
    <row r="1498" spans="2:8" ht="15" x14ac:dyDescent="0.25">
      <c r="B1498" s="27"/>
      <c r="C1498" s="27"/>
      <c r="D1498" s="27"/>
      <c r="E1498" s="27"/>
      <c r="F1498" s="27"/>
      <c r="G1498" s="27"/>
      <c r="H1498" s="27"/>
    </row>
    <row r="1499" spans="2:8" ht="15" x14ac:dyDescent="0.25">
      <c r="B1499" s="27"/>
      <c r="C1499" s="27"/>
      <c r="D1499" s="27"/>
      <c r="E1499" s="27"/>
      <c r="F1499" s="27"/>
      <c r="G1499" s="27"/>
      <c r="H1499" s="27"/>
    </row>
    <row r="1500" spans="2:8" ht="15" x14ac:dyDescent="0.25">
      <c r="B1500" s="27"/>
      <c r="C1500" s="27"/>
      <c r="D1500" s="27"/>
      <c r="E1500" s="27"/>
      <c r="F1500" s="27"/>
      <c r="G1500" s="27"/>
      <c r="H1500" s="27"/>
    </row>
    <row r="1501" spans="2:8" ht="15" x14ac:dyDescent="0.25">
      <c r="B1501" s="27"/>
      <c r="C1501" s="27"/>
      <c r="D1501" s="27"/>
      <c r="E1501" s="27"/>
      <c r="F1501" s="27"/>
      <c r="G1501" s="27"/>
      <c r="H1501" s="27"/>
    </row>
    <row r="1502" spans="2:8" ht="15" x14ac:dyDescent="0.25">
      <c r="B1502" s="27"/>
      <c r="C1502" s="27"/>
      <c r="D1502" s="27"/>
      <c r="E1502" s="27"/>
      <c r="F1502" s="27"/>
      <c r="G1502" s="27"/>
      <c r="H1502" s="27"/>
    </row>
    <row r="1503" spans="2:8" ht="15" x14ac:dyDescent="0.25">
      <c r="B1503" s="27"/>
      <c r="C1503" s="27"/>
      <c r="D1503" s="27"/>
      <c r="E1503" s="27"/>
      <c r="F1503" s="27"/>
      <c r="G1503" s="27"/>
      <c r="H1503" s="27"/>
    </row>
    <row r="1504" spans="2:8" ht="15" x14ac:dyDescent="0.25">
      <c r="B1504" s="27"/>
      <c r="C1504" s="27"/>
      <c r="D1504" s="27"/>
      <c r="E1504" s="27"/>
      <c r="F1504" s="27"/>
      <c r="G1504" s="27"/>
      <c r="H1504" s="27"/>
    </row>
    <row r="1505" spans="2:8" ht="15" x14ac:dyDescent="0.25">
      <c r="B1505" s="27"/>
      <c r="C1505" s="27"/>
      <c r="D1505" s="27"/>
      <c r="E1505" s="27"/>
      <c r="F1505" s="27"/>
      <c r="G1505" s="27"/>
      <c r="H1505" s="27"/>
    </row>
    <row r="1506" spans="2:8" ht="15" x14ac:dyDescent="0.25">
      <c r="B1506" s="27"/>
      <c r="C1506" s="27"/>
      <c r="D1506" s="27"/>
      <c r="E1506" s="27"/>
      <c r="F1506" s="27"/>
      <c r="G1506" s="27"/>
      <c r="H1506" s="27"/>
    </row>
    <row r="1507" spans="2:8" ht="15" x14ac:dyDescent="0.25">
      <c r="B1507" s="27"/>
      <c r="C1507" s="27"/>
      <c r="D1507" s="27"/>
      <c r="E1507" s="27"/>
      <c r="F1507" s="27"/>
      <c r="G1507" s="27"/>
      <c r="H1507" s="27"/>
    </row>
    <row r="1508" spans="2:8" ht="15" x14ac:dyDescent="0.25">
      <c r="B1508" s="27"/>
      <c r="C1508" s="27"/>
      <c r="D1508" s="27"/>
      <c r="E1508" s="27"/>
      <c r="F1508" s="27"/>
      <c r="G1508" s="27"/>
      <c r="H1508" s="27"/>
    </row>
    <row r="1509" spans="2:8" ht="15" x14ac:dyDescent="0.25">
      <c r="B1509" s="27"/>
      <c r="C1509" s="27"/>
      <c r="D1509" s="27"/>
      <c r="E1509" s="27"/>
      <c r="F1509" s="27"/>
      <c r="G1509" s="27"/>
      <c r="H1509" s="27"/>
    </row>
    <row r="1510" spans="2:8" ht="15" x14ac:dyDescent="0.25">
      <c r="B1510" s="27"/>
      <c r="C1510" s="27"/>
      <c r="D1510" s="27"/>
      <c r="E1510" s="27"/>
      <c r="F1510" s="27"/>
      <c r="G1510" s="27"/>
      <c r="H1510" s="27"/>
    </row>
    <row r="1511" spans="2:8" ht="15" x14ac:dyDescent="0.25">
      <c r="B1511" s="27"/>
      <c r="C1511" s="27"/>
      <c r="D1511" s="27"/>
      <c r="E1511" s="27"/>
      <c r="F1511" s="27"/>
      <c r="G1511" s="27"/>
      <c r="H1511" s="27"/>
    </row>
    <row r="1512" spans="2:8" ht="15" x14ac:dyDescent="0.25">
      <c r="B1512" s="27"/>
      <c r="C1512" s="27"/>
      <c r="D1512" s="27"/>
      <c r="E1512" s="27"/>
      <c r="F1512" s="27"/>
      <c r="G1512" s="27"/>
      <c r="H1512" s="27"/>
    </row>
    <row r="1513" spans="2:8" ht="15" x14ac:dyDescent="0.25">
      <c r="B1513" s="27"/>
      <c r="C1513" s="27"/>
      <c r="D1513" s="27"/>
      <c r="E1513" s="27"/>
      <c r="F1513" s="27"/>
      <c r="G1513" s="27"/>
      <c r="H1513" s="27"/>
    </row>
    <row r="1514" spans="2:8" ht="15" x14ac:dyDescent="0.25">
      <c r="B1514" s="27"/>
      <c r="C1514" s="27"/>
      <c r="D1514" s="27"/>
      <c r="E1514" s="27"/>
      <c r="F1514" s="27"/>
      <c r="G1514" s="27"/>
      <c r="H1514" s="27"/>
    </row>
    <row r="1515" spans="2:8" ht="15" x14ac:dyDescent="0.25">
      <c r="B1515" s="27"/>
      <c r="C1515" s="27"/>
      <c r="D1515" s="27"/>
      <c r="E1515" s="27"/>
      <c r="F1515" s="27"/>
      <c r="G1515" s="27"/>
      <c r="H1515" s="27"/>
    </row>
    <row r="1516" spans="2:8" ht="15" x14ac:dyDescent="0.25">
      <c r="B1516" s="27"/>
      <c r="C1516" s="27"/>
      <c r="D1516" s="27"/>
      <c r="E1516" s="27"/>
      <c r="F1516" s="27"/>
      <c r="G1516" s="27"/>
      <c r="H1516" s="27"/>
    </row>
    <row r="1517" spans="2:8" ht="15" x14ac:dyDescent="0.25">
      <c r="B1517" s="27"/>
      <c r="C1517" s="27"/>
      <c r="D1517" s="27"/>
      <c r="E1517" s="27"/>
      <c r="F1517" s="27"/>
      <c r="G1517" s="27"/>
      <c r="H1517" s="27"/>
    </row>
    <row r="1518" spans="2:8" ht="15" x14ac:dyDescent="0.25">
      <c r="B1518" s="27"/>
      <c r="C1518" s="27"/>
      <c r="D1518" s="27"/>
      <c r="E1518" s="27"/>
      <c r="F1518" s="27"/>
      <c r="G1518" s="27"/>
      <c r="H1518" s="27"/>
    </row>
    <row r="1519" spans="2:8" ht="15" x14ac:dyDescent="0.25">
      <c r="B1519" s="27"/>
      <c r="C1519" s="27"/>
      <c r="D1519" s="27"/>
      <c r="E1519" s="27"/>
      <c r="F1519" s="27"/>
      <c r="G1519" s="27"/>
      <c r="H1519" s="27"/>
    </row>
    <row r="1520" spans="2:8" ht="15" x14ac:dyDescent="0.25">
      <c r="B1520" s="27"/>
      <c r="C1520" s="27"/>
      <c r="D1520" s="27"/>
      <c r="E1520" s="27"/>
      <c r="F1520" s="27"/>
      <c r="G1520" s="27"/>
      <c r="H1520" s="27"/>
    </row>
    <row r="1521" spans="2:8" ht="15" x14ac:dyDescent="0.25">
      <c r="B1521" s="27"/>
      <c r="C1521" s="27"/>
      <c r="D1521" s="27"/>
      <c r="E1521" s="27"/>
      <c r="F1521" s="27"/>
      <c r="G1521" s="27"/>
      <c r="H1521" s="27"/>
    </row>
    <row r="1522" spans="2:8" ht="15" x14ac:dyDescent="0.25">
      <c r="B1522" s="27"/>
      <c r="C1522" s="27"/>
      <c r="D1522" s="27"/>
      <c r="E1522" s="27"/>
      <c r="F1522" s="27"/>
      <c r="G1522" s="27"/>
      <c r="H1522" s="27"/>
    </row>
    <row r="1523" spans="2:8" ht="15" x14ac:dyDescent="0.25">
      <c r="B1523" s="27"/>
      <c r="C1523" s="27"/>
      <c r="D1523" s="27"/>
      <c r="E1523" s="27"/>
      <c r="F1523" s="27"/>
      <c r="G1523" s="27"/>
      <c r="H1523" s="27"/>
    </row>
    <row r="1524" spans="2:8" ht="15" x14ac:dyDescent="0.25">
      <c r="B1524" s="27"/>
      <c r="C1524" s="27"/>
      <c r="D1524" s="27"/>
      <c r="E1524" s="27"/>
      <c r="F1524" s="27"/>
      <c r="G1524" s="27"/>
      <c r="H1524" s="27"/>
    </row>
    <row r="1525" spans="2:8" ht="15" x14ac:dyDescent="0.25">
      <c r="B1525" s="27"/>
      <c r="C1525" s="27"/>
      <c r="D1525" s="27"/>
      <c r="E1525" s="27"/>
      <c r="F1525" s="27"/>
      <c r="G1525" s="27"/>
      <c r="H1525" s="27"/>
    </row>
    <row r="1526" spans="2:8" ht="15" x14ac:dyDescent="0.25">
      <c r="B1526" s="27"/>
      <c r="C1526" s="27"/>
      <c r="D1526" s="27"/>
      <c r="E1526" s="27"/>
      <c r="F1526" s="27"/>
      <c r="G1526" s="27"/>
      <c r="H1526" s="27"/>
    </row>
    <row r="1527" spans="2:8" ht="15" x14ac:dyDescent="0.25">
      <c r="B1527" s="27"/>
      <c r="C1527" s="27"/>
      <c r="D1527" s="27"/>
      <c r="E1527" s="27"/>
      <c r="F1527" s="27"/>
      <c r="G1527" s="27"/>
      <c r="H1527" s="27"/>
    </row>
    <row r="1528" spans="2:8" ht="15" x14ac:dyDescent="0.25">
      <c r="B1528" s="27"/>
      <c r="C1528" s="27"/>
      <c r="D1528" s="27"/>
      <c r="E1528" s="27"/>
      <c r="F1528" s="27"/>
      <c r="G1528" s="27"/>
      <c r="H1528" s="27"/>
    </row>
    <row r="1529" spans="2:8" ht="15" x14ac:dyDescent="0.25">
      <c r="B1529" s="27"/>
      <c r="C1529" s="27"/>
      <c r="D1529" s="27"/>
      <c r="E1529" s="27"/>
      <c r="F1529" s="27"/>
      <c r="G1529" s="27"/>
      <c r="H1529" s="27"/>
    </row>
    <row r="1530" spans="2:8" ht="15" x14ac:dyDescent="0.25">
      <c r="B1530" s="27"/>
      <c r="C1530" s="27"/>
      <c r="D1530" s="27"/>
      <c r="E1530" s="27"/>
      <c r="F1530" s="27"/>
      <c r="G1530" s="27"/>
      <c r="H1530" s="27"/>
    </row>
    <row r="1531" spans="2:8" ht="15" x14ac:dyDescent="0.25">
      <c r="B1531" s="27"/>
      <c r="C1531" s="27"/>
      <c r="D1531" s="27"/>
      <c r="E1531" s="27"/>
      <c r="F1531" s="27"/>
      <c r="G1531" s="27"/>
      <c r="H1531" s="27"/>
    </row>
    <row r="1532" spans="2:8" ht="15" x14ac:dyDescent="0.25">
      <c r="B1532" s="27"/>
      <c r="C1532" s="27"/>
      <c r="D1532" s="27"/>
      <c r="E1532" s="27"/>
      <c r="F1532" s="27"/>
      <c r="G1532" s="27"/>
      <c r="H1532" s="27"/>
    </row>
    <row r="1533" spans="2:8" ht="15" x14ac:dyDescent="0.25">
      <c r="B1533" s="27"/>
      <c r="C1533" s="27"/>
      <c r="D1533" s="27"/>
      <c r="E1533" s="27"/>
      <c r="F1533" s="27"/>
      <c r="G1533" s="27"/>
      <c r="H1533" s="27"/>
    </row>
    <row r="1534" spans="2:8" ht="15" x14ac:dyDescent="0.25">
      <c r="B1534" s="27"/>
      <c r="C1534" s="27"/>
      <c r="D1534" s="27"/>
      <c r="E1534" s="27"/>
      <c r="F1534" s="27"/>
      <c r="G1534" s="27"/>
      <c r="H1534" s="27"/>
    </row>
    <row r="1535" spans="2:8" ht="15" x14ac:dyDescent="0.25">
      <c r="B1535" s="27"/>
      <c r="C1535" s="27"/>
      <c r="D1535" s="27"/>
      <c r="E1535" s="27"/>
      <c r="F1535" s="27"/>
      <c r="G1535" s="27"/>
      <c r="H1535" s="27"/>
    </row>
    <row r="1536" spans="2:8" ht="15" x14ac:dyDescent="0.25">
      <c r="B1536" s="27"/>
      <c r="C1536" s="27"/>
      <c r="D1536" s="27"/>
      <c r="E1536" s="27"/>
      <c r="F1536" s="27"/>
      <c r="G1536" s="27"/>
      <c r="H1536" s="27"/>
    </row>
    <row r="1537" spans="2:8" ht="15" x14ac:dyDescent="0.25">
      <c r="B1537" s="27"/>
      <c r="C1537" s="27"/>
      <c r="D1537" s="27"/>
      <c r="E1537" s="27"/>
      <c r="F1537" s="27"/>
      <c r="G1537" s="27"/>
      <c r="H1537" s="27"/>
    </row>
    <row r="1538" spans="2:8" ht="15" x14ac:dyDescent="0.25">
      <c r="B1538" s="27"/>
      <c r="C1538" s="27"/>
      <c r="D1538" s="27"/>
      <c r="E1538" s="27"/>
      <c r="F1538" s="27"/>
      <c r="G1538" s="27"/>
      <c r="H1538" s="27"/>
    </row>
    <row r="1539" spans="2:8" ht="15" x14ac:dyDescent="0.25">
      <c r="B1539" s="27"/>
      <c r="C1539" s="27"/>
      <c r="D1539" s="27"/>
      <c r="E1539" s="27"/>
      <c r="F1539" s="27"/>
      <c r="G1539" s="27"/>
      <c r="H1539" s="27"/>
    </row>
    <row r="1540" spans="2:8" ht="15" x14ac:dyDescent="0.25">
      <c r="B1540" s="27"/>
      <c r="C1540" s="27"/>
      <c r="D1540" s="27"/>
      <c r="E1540" s="27"/>
      <c r="F1540" s="27"/>
      <c r="G1540" s="27"/>
      <c r="H1540" s="27"/>
    </row>
    <row r="1541" spans="2:8" ht="15" x14ac:dyDescent="0.25">
      <c r="B1541" s="27"/>
      <c r="C1541" s="27"/>
      <c r="D1541" s="27"/>
      <c r="E1541" s="27"/>
      <c r="F1541" s="27"/>
      <c r="G1541" s="27"/>
      <c r="H1541" s="27"/>
    </row>
    <row r="1542" spans="2:8" ht="15" x14ac:dyDescent="0.25">
      <c r="B1542" s="27"/>
      <c r="C1542" s="27"/>
      <c r="D1542" s="27"/>
      <c r="E1542" s="27"/>
      <c r="F1542" s="27"/>
      <c r="G1542" s="27"/>
      <c r="H1542" s="27"/>
    </row>
    <row r="1543" spans="2:8" ht="15" x14ac:dyDescent="0.25">
      <c r="B1543" s="27"/>
      <c r="C1543" s="27"/>
      <c r="D1543" s="27"/>
      <c r="E1543" s="27"/>
      <c r="F1543" s="27"/>
      <c r="G1543" s="27"/>
      <c r="H1543" s="27"/>
    </row>
    <row r="1544" spans="2:8" ht="15" x14ac:dyDescent="0.25">
      <c r="B1544" s="27"/>
      <c r="C1544" s="27"/>
      <c r="D1544" s="27"/>
      <c r="E1544" s="27"/>
      <c r="F1544" s="27"/>
      <c r="G1544" s="27"/>
      <c r="H1544" s="27"/>
    </row>
    <row r="1545" spans="2:8" ht="15" x14ac:dyDescent="0.25">
      <c r="B1545" s="27"/>
      <c r="C1545" s="27"/>
      <c r="D1545" s="27"/>
      <c r="E1545" s="27"/>
      <c r="F1545" s="27"/>
      <c r="G1545" s="27"/>
      <c r="H1545" s="27"/>
    </row>
    <row r="1546" spans="2:8" ht="15" x14ac:dyDescent="0.25">
      <c r="B1546" s="27"/>
      <c r="C1546" s="27"/>
      <c r="D1546" s="27"/>
      <c r="E1546" s="27"/>
      <c r="F1546" s="27"/>
      <c r="G1546" s="27"/>
      <c r="H1546" s="27"/>
    </row>
    <row r="1547" spans="2:8" ht="15" x14ac:dyDescent="0.25">
      <c r="B1547" s="27"/>
      <c r="C1547" s="27"/>
      <c r="D1547" s="27"/>
      <c r="E1547" s="27"/>
      <c r="F1547" s="27"/>
      <c r="G1547" s="27"/>
      <c r="H1547" s="27"/>
    </row>
    <row r="1548" spans="2:8" ht="15" x14ac:dyDescent="0.25">
      <c r="B1548" s="27"/>
      <c r="C1548" s="27"/>
      <c r="D1548" s="27"/>
      <c r="E1548" s="27"/>
      <c r="F1548" s="27"/>
      <c r="G1548" s="27"/>
      <c r="H1548" s="27"/>
    </row>
    <row r="1549" spans="2:8" ht="15" x14ac:dyDescent="0.25">
      <c r="B1549" s="27"/>
      <c r="C1549" s="27"/>
      <c r="D1549" s="27"/>
      <c r="E1549" s="27"/>
      <c r="F1549" s="27"/>
      <c r="G1549" s="27"/>
      <c r="H1549" s="27"/>
    </row>
    <row r="1550" spans="2:8" ht="15" x14ac:dyDescent="0.25">
      <c r="B1550" s="27"/>
      <c r="C1550" s="27"/>
      <c r="D1550" s="27"/>
      <c r="E1550" s="27"/>
      <c r="F1550" s="27"/>
      <c r="G1550" s="27"/>
      <c r="H1550" s="27"/>
    </row>
    <row r="1551" spans="2:8" ht="15" x14ac:dyDescent="0.25">
      <c r="B1551" s="27"/>
      <c r="C1551" s="27"/>
      <c r="D1551" s="27"/>
      <c r="E1551" s="27"/>
      <c r="F1551" s="27"/>
      <c r="G1551" s="27"/>
      <c r="H1551" s="27"/>
    </row>
    <row r="1552" spans="2:8" ht="15" x14ac:dyDescent="0.25">
      <c r="B1552" s="27"/>
      <c r="C1552" s="27"/>
      <c r="D1552" s="27"/>
      <c r="E1552" s="27"/>
      <c r="F1552" s="27"/>
      <c r="G1552" s="27"/>
      <c r="H1552" s="27"/>
    </row>
    <row r="1553" spans="2:8" ht="15" x14ac:dyDescent="0.25">
      <c r="B1553" s="27"/>
      <c r="C1553" s="27"/>
      <c r="D1553" s="27"/>
      <c r="E1553" s="27"/>
      <c r="F1553" s="27"/>
      <c r="G1553" s="27"/>
      <c r="H1553" s="27"/>
    </row>
    <row r="1554" spans="2:8" ht="15" x14ac:dyDescent="0.25">
      <c r="B1554" s="27"/>
      <c r="C1554" s="27"/>
      <c r="D1554" s="27"/>
      <c r="E1554" s="27"/>
      <c r="F1554" s="27"/>
      <c r="G1554" s="27"/>
      <c r="H1554" s="27"/>
    </row>
    <row r="1555" spans="2:8" ht="15" x14ac:dyDescent="0.25">
      <c r="B1555" s="27"/>
      <c r="C1555" s="27"/>
      <c r="D1555" s="27"/>
      <c r="E1555" s="27"/>
      <c r="F1555" s="27"/>
      <c r="G1555" s="27"/>
      <c r="H1555" s="27"/>
    </row>
    <row r="1556" spans="2:8" ht="15" x14ac:dyDescent="0.25">
      <c r="B1556" s="27"/>
      <c r="C1556" s="27"/>
      <c r="D1556" s="27"/>
      <c r="E1556" s="27"/>
      <c r="F1556" s="27"/>
      <c r="G1556" s="27"/>
      <c r="H1556" s="27"/>
    </row>
    <row r="1557" spans="2:8" ht="15" x14ac:dyDescent="0.25">
      <c r="B1557" s="27"/>
      <c r="C1557" s="27"/>
      <c r="D1557" s="27"/>
      <c r="E1557" s="27"/>
      <c r="F1557" s="27"/>
      <c r="G1557" s="27"/>
      <c r="H1557" s="27"/>
    </row>
    <row r="1558" spans="2:8" ht="15" x14ac:dyDescent="0.25">
      <c r="B1558" s="27"/>
      <c r="C1558" s="27"/>
      <c r="D1558" s="27"/>
      <c r="E1558" s="27"/>
      <c r="F1558" s="27"/>
      <c r="G1558" s="27"/>
      <c r="H1558" s="27"/>
    </row>
    <row r="1559" spans="2:8" ht="15" x14ac:dyDescent="0.25">
      <c r="B1559" s="27"/>
      <c r="C1559" s="27"/>
      <c r="D1559" s="27"/>
      <c r="E1559" s="27"/>
      <c r="F1559" s="27"/>
      <c r="G1559" s="27"/>
      <c r="H1559" s="27"/>
    </row>
    <row r="1560" spans="2:8" ht="15" x14ac:dyDescent="0.25">
      <c r="B1560" s="27"/>
      <c r="C1560" s="27"/>
      <c r="D1560" s="27"/>
      <c r="E1560" s="27"/>
      <c r="F1560" s="27"/>
      <c r="G1560" s="27"/>
      <c r="H1560" s="27"/>
    </row>
    <row r="1561" spans="2:8" ht="15" x14ac:dyDescent="0.25">
      <c r="B1561" s="27"/>
      <c r="C1561" s="27"/>
      <c r="D1561" s="27"/>
      <c r="E1561" s="27"/>
      <c r="F1561" s="27"/>
      <c r="G1561" s="27"/>
      <c r="H1561" s="27"/>
    </row>
    <row r="1562" spans="2:8" ht="15" x14ac:dyDescent="0.25">
      <c r="B1562" s="27"/>
      <c r="C1562" s="27"/>
      <c r="D1562" s="27"/>
      <c r="E1562" s="27"/>
      <c r="F1562" s="27"/>
      <c r="G1562" s="27"/>
      <c r="H1562" s="27"/>
    </row>
    <row r="1563" spans="2:8" ht="15" x14ac:dyDescent="0.25">
      <c r="B1563" s="27"/>
      <c r="C1563" s="27"/>
      <c r="D1563" s="27"/>
      <c r="E1563" s="27"/>
      <c r="F1563" s="27"/>
      <c r="G1563" s="27"/>
      <c r="H1563" s="27"/>
    </row>
    <row r="1564" spans="2:8" ht="15" x14ac:dyDescent="0.25">
      <c r="B1564" s="27"/>
      <c r="C1564" s="27"/>
      <c r="D1564" s="27"/>
      <c r="E1564" s="27"/>
      <c r="F1564" s="27"/>
      <c r="G1564" s="27"/>
      <c r="H1564" s="27"/>
    </row>
    <row r="1565" spans="2:8" ht="15" x14ac:dyDescent="0.25">
      <c r="B1565" s="27"/>
      <c r="C1565" s="27"/>
      <c r="D1565" s="27"/>
      <c r="E1565" s="27"/>
      <c r="F1565" s="27"/>
      <c r="G1565" s="27"/>
      <c r="H1565" s="27"/>
    </row>
    <row r="1566" spans="2:8" ht="15" x14ac:dyDescent="0.25">
      <c r="B1566" s="27"/>
      <c r="C1566" s="27"/>
      <c r="D1566" s="27"/>
      <c r="E1566" s="27"/>
      <c r="F1566" s="27"/>
      <c r="G1566" s="27"/>
      <c r="H1566" s="27"/>
    </row>
    <row r="1567" spans="2:8" ht="15" x14ac:dyDescent="0.25">
      <c r="B1567" s="27"/>
      <c r="C1567" s="27"/>
      <c r="D1567" s="27"/>
      <c r="E1567" s="27"/>
      <c r="F1567" s="27"/>
      <c r="G1567" s="27"/>
      <c r="H1567" s="27"/>
    </row>
    <row r="1568" spans="2:8" ht="15" x14ac:dyDescent="0.25">
      <c r="B1568" s="27"/>
      <c r="C1568" s="27"/>
      <c r="D1568" s="27"/>
      <c r="E1568" s="27"/>
      <c r="F1568" s="27"/>
      <c r="G1568" s="27"/>
      <c r="H1568" s="27"/>
    </row>
    <row r="1569" spans="2:8" ht="15" x14ac:dyDescent="0.25">
      <c r="B1569" s="27"/>
      <c r="C1569" s="27"/>
      <c r="D1569" s="27"/>
      <c r="E1569" s="27"/>
      <c r="F1569" s="27"/>
      <c r="G1569" s="27"/>
      <c r="H1569" s="27"/>
    </row>
    <row r="1570" spans="2:8" ht="15" x14ac:dyDescent="0.25">
      <c r="B1570" s="27"/>
      <c r="C1570" s="27"/>
      <c r="D1570" s="27"/>
      <c r="E1570" s="27"/>
      <c r="F1570" s="27"/>
      <c r="G1570" s="27"/>
      <c r="H1570" s="27"/>
    </row>
    <row r="1571" spans="2:8" ht="15" x14ac:dyDescent="0.25">
      <c r="B1571" s="27"/>
      <c r="C1571" s="27"/>
      <c r="D1571" s="27"/>
      <c r="E1571" s="27"/>
      <c r="F1571" s="27"/>
      <c r="G1571" s="27"/>
      <c r="H1571" s="27"/>
    </row>
    <row r="1572" spans="2:8" ht="15" x14ac:dyDescent="0.25">
      <c r="B1572" s="27"/>
      <c r="C1572" s="27"/>
      <c r="D1572" s="27"/>
      <c r="E1572" s="27"/>
      <c r="F1572" s="27"/>
      <c r="G1572" s="27"/>
      <c r="H1572" s="27"/>
    </row>
    <row r="1573" spans="2:8" ht="15" x14ac:dyDescent="0.25">
      <c r="B1573" s="27"/>
      <c r="C1573" s="27"/>
      <c r="D1573" s="27"/>
      <c r="E1573" s="27"/>
      <c r="F1573" s="27"/>
      <c r="G1573" s="27"/>
      <c r="H1573" s="27"/>
    </row>
    <row r="1574" spans="2:8" ht="15" x14ac:dyDescent="0.25">
      <c r="B1574" s="27"/>
      <c r="C1574" s="27"/>
      <c r="D1574" s="27"/>
      <c r="E1574" s="27"/>
      <c r="F1574" s="27"/>
      <c r="G1574" s="27"/>
      <c r="H1574" s="27"/>
    </row>
    <row r="1575" spans="2:8" ht="15" x14ac:dyDescent="0.25">
      <c r="B1575" s="27"/>
      <c r="C1575" s="27"/>
      <c r="D1575" s="27"/>
      <c r="E1575" s="27"/>
      <c r="F1575" s="27"/>
      <c r="G1575" s="27"/>
      <c r="H1575" s="27"/>
    </row>
    <row r="1576" spans="2:8" ht="15" x14ac:dyDescent="0.25">
      <c r="B1576" s="27"/>
      <c r="C1576" s="27"/>
      <c r="D1576" s="27"/>
      <c r="E1576" s="27"/>
      <c r="F1576" s="27"/>
      <c r="G1576" s="27"/>
      <c r="H1576" s="27"/>
    </row>
    <row r="1577" spans="2:8" ht="15" x14ac:dyDescent="0.25">
      <c r="B1577" s="27"/>
      <c r="C1577" s="27"/>
      <c r="D1577" s="27"/>
      <c r="E1577" s="27"/>
      <c r="F1577" s="27"/>
      <c r="G1577" s="27"/>
      <c r="H1577" s="27"/>
    </row>
    <row r="1578" spans="2:8" ht="15" x14ac:dyDescent="0.25">
      <c r="B1578" s="27"/>
      <c r="C1578" s="27"/>
      <c r="D1578" s="27"/>
      <c r="E1578" s="27"/>
      <c r="F1578" s="27"/>
      <c r="G1578" s="27"/>
      <c r="H1578" s="27"/>
    </row>
    <row r="1579" spans="2:8" ht="15" x14ac:dyDescent="0.25">
      <c r="B1579" s="27"/>
      <c r="C1579" s="27"/>
      <c r="D1579" s="27"/>
      <c r="E1579" s="27"/>
      <c r="F1579" s="27"/>
      <c r="G1579" s="27"/>
      <c r="H1579" s="27"/>
    </row>
    <row r="1580" spans="2:8" ht="15" x14ac:dyDescent="0.25">
      <c r="B1580" s="27"/>
      <c r="C1580" s="27"/>
      <c r="D1580" s="27"/>
      <c r="E1580" s="27"/>
      <c r="F1580" s="27"/>
      <c r="G1580" s="27"/>
      <c r="H1580" s="27"/>
    </row>
    <row r="1581" spans="2:8" ht="15" x14ac:dyDescent="0.25">
      <c r="B1581" s="27"/>
      <c r="C1581" s="27"/>
      <c r="D1581" s="27"/>
      <c r="E1581" s="27"/>
      <c r="F1581" s="27"/>
      <c r="G1581" s="27"/>
      <c r="H1581" s="27"/>
    </row>
    <row r="1582" spans="2:8" ht="15" x14ac:dyDescent="0.25">
      <c r="B1582" s="27"/>
      <c r="C1582" s="27"/>
      <c r="D1582" s="27"/>
      <c r="E1582" s="27"/>
      <c r="F1582" s="27"/>
      <c r="G1582" s="27"/>
      <c r="H1582" s="27"/>
    </row>
    <row r="1583" spans="2:8" ht="15" x14ac:dyDescent="0.25">
      <c r="B1583" s="27"/>
      <c r="C1583" s="27"/>
      <c r="D1583" s="27"/>
      <c r="E1583" s="27"/>
      <c r="F1583" s="27"/>
      <c r="G1583" s="27"/>
      <c r="H1583" s="27"/>
    </row>
    <row r="1584" spans="2:8" ht="15" x14ac:dyDescent="0.25">
      <c r="B1584" s="27"/>
      <c r="C1584" s="27"/>
      <c r="D1584" s="27"/>
      <c r="E1584" s="27"/>
      <c r="F1584" s="27"/>
      <c r="G1584" s="27"/>
      <c r="H1584" s="27"/>
    </row>
    <row r="1585" spans="2:8" ht="15" x14ac:dyDescent="0.25">
      <c r="B1585" s="27"/>
      <c r="C1585" s="27"/>
      <c r="D1585" s="27"/>
      <c r="E1585" s="27"/>
      <c r="F1585" s="27"/>
      <c r="G1585" s="27"/>
      <c r="H1585" s="27"/>
    </row>
    <row r="1586" spans="2:8" ht="15" x14ac:dyDescent="0.25">
      <c r="B1586" s="27"/>
      <c r="C1586" s="27"/>
      <c r="D1586" s="27"/>
      <c r="E1586" s="27"/>
      <c r="F1586" s="27"/>
      <c r="G1586" s="27"/>
      <c r="H1586" s="27"/>
    </row>
    <row r="1587" spans="2:8" ht="15" x14ac:dyDescent="0.25">
      <c r="B1587" s="27"/>
      <c r="C1587" s="27"/>
      <c r="D1587" s="27"/>
      <c r="E1587" s="27"/>
      <c r="F1587" s="27"/>
      <c r="G1587" s="27"/>
      <c r="H1587" s="27"/>
    </row>
    <row r="1588" spans="2:8" ht="15" x14ac:dyDescent="0.25">
      <c r="B1588" s="27"/>
      <c r="C1588" s="27"/>
      <c r="D1588" s="27"/>
      <c r="E1588" s="27"/>
      <c r="F1588" s="27"/>
      <c r="G1588" s="27"/>
      <c r="H1588" s="27"/>
    </row>
    <row r="1589" spans="2:8" ht="15" x14ac:dyDescent="0.25">
      <c r="B1589" s="27"/>
      <c r="C1589" s="27"/>
      <c r="D1589" s="27"/>
      <c r="E1589" s="27"/>
      <c r="F1589" s="27"/>
      <c r="G1589" s="27"/>
      <c r="H1589" s="27"/>
    </row>
    <row r="1590" spans="2:8" ht="15" x14ac:dyDescent="0.25">
      <c r="B1590" s="27"/>
      <c r="C1590" s="27"/>
      <c r="D1590" s="27"/>
      <c r="E1590" s="27"/>
      <c r="F1590" s="27"/>
      <c r="G1590" s="27"/>
      <c r="H1590" s="27"/>
    </row>
    <row r="1591" spans="2:8" ht="15" x14ac:dyDescent="0.25">
      <c r="B1591" s="27"/>
      <c r="C1591" s="27"/>
      <c r="D1591" s="27"/>
      <c r="E1591" s="27"/>
      <c r="F1591" s="27"/>
      <c r="G1591" s="27"/>
      <c r="H1591" s="27"/>
    </row>
    <row r="1592" spans="2:8" ht="15" x14ac:dyDescent="0.25">
      <c r="B1592" s="27"/>
      <c r="C1592" s="27"/>
      <c r="D1592" s="27"/>
      <c r="E1592" s="27"/>
      <c r="F1592" s="27"/>
      <c r="G1592" s="27"/>
      <c r="H1592" s="27"/>
    </row>
    <row r="1593" spans="2:8" ht="15" x14ac:dyDescent="0.25">
      <c r="B1593" s="27"/>
      <c r="C1593" s="27"/>
      <c r="D1593" s="27"/>
      <c r="E1593" s="27"/>
      <c r="F1593" s="27"/>
      <c r="G1593" s="27"/>
      <c r="H1593" s="27"/>
    </row>
    <row r="1594" spans="2:8" ht="15" x14ac:dyDescent="0.25">
      <c r="B1594" s="27"/>
      <c r="C1594" s="27"/>
      <c r="D1594" s="27"/>
      <c r="E1594" s="27"/>
      <c r="F1594" s="27"/>
      <c r="G1594" s="27"/>
      <c r="H1594" s="27"/>
    </row>
    <row r="1595" spans="2:8" ht="15" x14ac:dyDescent="0.25">
      <c r="B1595" s="27"/>
      <c r="C1595" s="27"/>
      <c r="D1595" s="27"/>
      <c r="E1595" s="27"/>
      <c r="F1595" s="27"/>
      <c r="G1595" s="27"/>
      <c r="H1595" s="27"/>
    </row>
    <row r="1596" spans="2:8" ht="15" x14ac:dyDescent="0.25">
      <c r="B1596" s="27"/>
      <c r="C1596" s="27"/>
      <c r="D1596" s="27"/>
      <c r="E1596" s="27"/>
      <c r="F1596" s="27"/>
      <c r="G1596" s="27"/>
      <c r="H1596" s="27"/>
    </row>
    <row r="1597" spans="2:8" ht="15" x14ac:dyDescent="0.25">
      <c r="B1597" s="27"/>
      <c r="C1597" s="27"/>
      <c r="D1597" s="27"/>
      <c r="E1597" s="27"/>
      <c r="F1597" s="27"/>
      <c r="G1597" s="27"/>
      <c r="H1597" s="27"/>
    </row>
    <row r="1598" spans="2:8" ht="15" x14ac:dyDescent="0.25">
      <c r="B1598" s="27"/>
      <c r="C1598" s="27"/>
      <c r="D1598" s="27"/>
      <c r="E1598" s="27"/>
      <c r="F1598" s="27"/>
      <c r="G1598" s="27"/>
      <c r="H1598" s="27"/>
    </row>
    <row r="1599" spans="2:8" ht="15" x14ac:dyDescent="0.25">
      <c r="B1599" s="27"/>
      <c r="C1599" s="27"/>
      <c r="D1599" s="27"/>
      <c r="E1599" s="27"/>
      <c r="F1599" s="27"/>
      <c r="G1599" s="27"/>
      <c r="H1599" s="27"/>
    </row>
    <row r="1600" spans="2:8" ht="15" x14ac:dyDescent="0.25">
      <c r="B1600" s="27"/>
      <c r="C1600" s="27"/>
      <c r="D1600" s="27"/>
      <c r="E1600" s="27"/>
      <c r="F1600" s="27"/>
      <c r="G1600" s="27"/>
      <c r="H1600" s="27"/>
    </row>
    <row r="1601" spans="2:8" ht="15" x14ac:dyDescent="0.25">
      <c r="B1601" s="27"/>
      <c r="C1601" s="27"/>
      <c r="D1601" s="27"/>
      <c r="E1601" s="27"/>
      <c r="F1601" s="27"/>
      <c r="G1601" s="27"/>
      <c r="H1601" s="27"/>
    </row>
    <row r="1602" spans="2:8" ht="15" x14ac:dyDescent="0.25">
      <c r="B1602" s="27"/>
      <c r="C1602" s="27"/>
      <c r="D1602" s="27"/>
      <c r="E1602" s="27"/>
      <c r="F1602" s="27"/>
      <c r="G1602" s="27"/>
      <c r="H1602" s="27"/>
    </row>
    <row r="1603" spans="2:8" ht="15" x14ac:dyDescent="0.25">
      <c r="B1603" s="27"/>
      <c r="C1603" s="27"/>
      <c r="D1603" s="27"/>
      <c r="E1603" s="27"/>
      <c r="F1603" s="27"/>
      <c r="G1603" s="27"/>
      <c r="H1603" s="27"/>
    </row>
    <row r="1604" spans="2:8" ht="15" x14ac:dyDescent="0.25">
      <c r="B1604" s="27"/>
      <c r="C1604" s="27"/>
      <c r="D1604" s="27"/>
      <c r="E1604" s="27"/>
      <c r="F1604" s="27"/>
      <c r="G1604" s="27"/>
      <c r="H1604" s="27"/>
    </row>
    <row r="1605" spans="2:8" ht="15" x14ac:dyDescent="0.25">
      <c r="B1605" s="27"/>
      <c r="C1605" s="27"/>
      <c r="D1605" s="27"/>
      <c r="E1605" s="27"/>
      <c r="F1605" s="27"/>
      <c r="G1605" s="27"/>
      <c r="H1605" s="27"/>
    </row>
    <row r="1606" spans="2:8" ht="15" x14ac:dyDescent="0.25">
      <c r="B1606" s="27"/>
      <c r="C1606" s="27"/>
      <c r="D1606" s="27"/>
      <c r="E1606" s="27"/>
      <c r="F1606" s="27"/>
      <c r="G1606" s="27"/>
      <c r="H1606" s="27"/>
    </row>
    <row r="1607" spans="2:8" ht="15" x14ac:dyDescent="0.25">
      <c r="B1607" s="27"/>
      <c r="C1607" s="27"/>
      <c r="D1607" s="27"/>
      <c r="E1607" s="27"/>
      <c r="F1607" s="27"/>
      <c r="G1607" s="27"/>
      <c r="H1607" s="27"/>
    </row>
    <row r="1608" spans="2:8" ht="15" x14ac:dyDescent="0.25">
      <c r="B1608" s="27"/>
      <c r="C1608" s="27"/>
      <c r="D1608" s="27"/>
      <c r="E1608" s="27"/>
      <c r="F1608" s="27"/>
      <c r="G1608" s="27"/>
      <c r="H1608" s="27"/>
    </row>
    <row r="1609" spans="2:8" ht="15" x14ac:dyDescent="0.25">
      <c r="B1609" s="27"/>
      <c r="C1609" s="27"/>
      <c r="D1609" s="27"/>
      <c r="E1609" s="27"/>
      <c r="F1609" s="27"/>
      <c r="G1609" s="27"/>
      <c r="H1609" s="27"/>
    </row>
    <row r="1610" spans="2:8" ht="15" x14ac:dyDescent="0.25">
      <c r="B1610" s="27"/>
      <c r="C1610" s="27"/>
      <c r="D1610" s="27"/>
      <c r="E1610" s="27"/>
      <c r="F1610" s="27"/>
      <c r="G1610" s="27"/>
      <c r="H1610" s="27"/>
    </row>
    <row r="1611" spans="2:8" ht="15" x14ac:dyDescent="0.25">
      <c r="B1611" s="27"/>
      <c r="C1611" s="27"/>
      <c r="D1611" s="27"/>
      <c r="E1611" s="27"/>
      <c r="F1611" s="27"/>
      <c r="G1611" s="27"/>
      <c r="H1611" s="27"/>
    </row>
    <row r="1612" spans="2:8" ht="15" x14ac:dyDescent="0.25">
      <c r="B1612" s="27"/>
      <c r="C1612" s="27"/>
      <c r="D1612" s="27"/>
      <c r="E1612" s="27"/>
      <c r="F1612" s="27"/>
      <c r="G1612" s="27"/>
      <c r="H1612" s="27"/>
    </row>
    <row r="1613" spans="2:8" ht="15" x14ac:dyDescent="0.25">
      <c r="B1613" s="27"/>
      <c r="C1613" s="27"/>
      <c r="D1613" s="27"/>
      <c r="E1613" s="27"/>
      <c r="F1613" s="27"/>
      <c r="G1613" s="27"/>
      <c r="H1613" s="27"/>
    </row>
    <row r="1614" spans="2:8" ht="15" x14ac:dyDescent="0.25">
      <c r="B1614" s="27"/>
      <c r="C1614" s="27"/>
      <c r="D1614" s="27"/>
      <c r="E1614" s="27"/>
      <c r="F1614" s="27"/>
      <c r="G1614" s="27"/>
      <c r="H1614" s="27"/>
    </row>
    <row r="1615" spans="2:8" ht="15" x14ac:dyDescent="0.25">
      <c r="B1615" s="27"/>
      <c r="C1615" s="27"/>
      <c r="D1615" s="27"/>
      <c r="E1615" s="27"/>
      <c r="F1615" s="27"/>
      <c r="G1615" s="27"/>
      <c r="H1615" s="27"/>
    </row>
    <row r="1616" spans="2:8" ht="15" x14ac:dyDescent="0.25">
      <c r="B1616" s="27"/>
      <c r="C1616" s="27"/>
      <c r="D1616" s="27"/>
      <c r="E1616" s="27"/>
      <c r="F1616" s="27"/>
      <c r="G1616" s="27"/>
      <c r="H1616" s="27"/>
    </row>
    <row r="1617" spans="2:8" ht="15" x14ac:dyDescent="0.25">
      <c r="B1617" s="27"/>
      <c r="C1617" s="27"/>
      <c r="D1617" s="27"/>
      <c r="E1617" s="27"/>
      <c r="F1617" s="27"/>
      <c r="G1617" s="27"/>
      <c r="H1617" s="27"/>
    </row>
    <row r="1618" spans="2:8" ht="15" x14ac:dyDescent="0.25">
      <c r="B1618" s="27"/>
      <c r="C1618" s="27"/>
      <c r="D1618" s="27"/>
      <c r="E1618" s="27"/>
      <c r="F1618" s="27"/>
      <c r="G1618" s="27"/>
      <c r="H1618" s="27"/>
    </row>
    <row r="1619" spans="2:8" ht="15" x14ac:dyDescent="0.25">
      <c r="B1619" s="27"/>
      <c r="C1619" s="27"/>
      <c r="D1619" s="27"/>
      <c r="E1619" s="27"/>
      <c r="F1619" s="27"/>
      <c r="G1619" s="27"/>
      <c r="H1619" s="27"/>
    </row>
    <row r="1620" spans="2:8" ht="15" x14ac:dyDescent="0.25">
      <c r="B1620" s="27"/>
      <c r="C1620" s="27"/>
      <c r="D1620" s="27"/>
      <c r="E1620" s="27"/>
      <c r="F1620" s="27"/>
      <c r="G1620" s="27"/>
      <c r="H1620" s="27"/>
    </row>
    <row r="1621" spans="2:8" ht="15" x14ac:dyDescent="0.25">
      <c r="B1621" s="27"/>
      <c r="C1621" s="27"/>
      <c r="D1621" s="27"/>
      <c r="E1621" s="27"/>
      <c r="F1621" s="27"/>
      <c r="G1621" s="27"/>
      <c r="H1621" s="27"/>
    </row>
    <row r="1622" spans="2:8" ht="15" x14ac:dyDescent="0.25">
      <c r="B1622" s="27"/>
      <c r="C1622" s="27"/>
      <c r="D1622" s="27"/>
      <c r="E1622" s="27"/>
      <c r="F1622" s="27"/>
      <c r="G1622" s="27"/>
      <c r="H1622" s="27"/>
    </row>
    <row r="1623" spans="2:8" ht="15" x14ac:dyDescent="0.25">
      <c r="B1623" s="27"/>
      <c r="C1623" s="27"/>
      <c r="D1623" s="27"/>
      <c r="E1623" s="27"/>
      <c r="F1623" s="27"/>
      <c r="G1623" s="27"/>
      <c r="H1623" s="27"/>
    </row>
    <row r="1624" spans="2:8" ht="15" x14ac:dyDescent="0.25">
      <c r="B1624" s="27"/>
      <c r="C1624" s="27"/>
      <c r="D1624" s="27"/>
      <c r="E1624" s="27"/>
      <c r="F1624" s="27"/>
      <c r="G1624" s="27"/>
      <c r="H1624" s="27"/>
    </row>
    <row r="1625" spans="2:8" ht="15" x14ac:dyDescent="0.25">
      <c r="B1625" s="27"/>
      <c r="C1625" s="27"/>
      <c r="D1625" s="27"/>
      <c r="E1625" s="27"/>
      <c r="F1625" s="27"/>
      <c r="G1625" s="27"/>
      <c r="H1625" s="27"/>
    </row>
    <row r="1626" spans="2:8" ht="15" x14ac:dyDescent="0.25">
      <c r="B1626" s="27"/>
      <c r="C1626" s="27"/>
      <c r="D1626" s="27"/>
      <c r="E1626" s="27"/>
      <c r="F1626" s="27"/>
      <c r="G1626" s="27"/>
      <c r="H1626" s="27"/>
    </row>
    <row r="1627" spans="2:8" ht="15" x14ac:dyDescent="0.25">
      <c r="B1627" s="27"/>
      <c r="C1627" s="27"/>
      <c r="D1627" s="27"/>
      <c r="E1627" s="27"/>
      <c r="F1627" s="27"/>
      <c r="G1627" s="27"/>
      <c r="H1627" s="27"/>
    </row>
    <row r="1628" spans="2:8" ht="15" x14ac:dyDescent="0.25">
      <c r="B1628" s="27"/>
      <c r="C1628" s="27"/>
      <c r="D1628" s="27"/>
      <c r="E1628" s="27"/>
      <c r="F1628" s="27"/>
      <c r="G1628" s="27"/>
      <c r="H1628" s="27"/>
    </row>
    <row r="1629" spans="2:8" ht="15" x14ac:dyDescent="0.25">
      <c r="B1629" s="27"/>
      <c r="C1629" s="27"/>
      <c r="D1629" s="27"/>
      <c r="E1629" s="27"/>
      <c r="F1629" s="27"/>
      <c r="G1629" s="27"/>
      <c r="H1629" s="27"/>
    </row>
    <row r="1630" spans="2:8" ht="15" x14ac:dyDescent="0.25">
      <c r="B1630" s="27"/>
      <c r="C1630" s="27"/>
      <c r="D1630" s="27"/>
      <c r="E1630" s="27"/>
      <c r="F1630" s="27"/>
      <c r="G1630" s="27"/>
      <c r="H1630" s="27"/>
    </row>
    <row r="1631" spans="2:8" ht="15" x14ac:dyDescent="0.25">
      <c r="B1631" s="27"/>
      <c r="C1631" s="27"/>
      <c r="D1631" s="27"/>
      <c r="E1631" s="27"/>
      <c r="F1631" s="27"/>
      <c r="G1631" s="27"/>
      <c r="H1631" s="27"/>
    </row>
    <row r="1632" spans="2:8" ht="15" x14ac:dyDescent="0.25">
      <c r="B1632" s="27"/>
      <c r="C1632" s="27"/>
      <c r="D1632" s="27"/>
      <c r="E1632" s="27"/>
      <c r="F1632" s="27"/>
      <c r="G1632" s="27"/>
      <c r="H1632" s="27"/>
    </row>
    <row r="1633" spans="2:8" ht="15" x14ac:dyDescent="0.25">
      <c r="B1633" s="27"/>
      <c r="C1633" s="27"/>
      <c r="D1633" s="27"/>
      <c r="E1633" s="27"/>
      <c r="F1633" s="27"/>
      <c r="G1633" s="27"/>
      <c r="H1633" s="27"/>
    </row>
    <row r="1634" spans="2:8" ht="15" x14ac:dyDescent="0.25">
      <c r="B1634" s="27"/>
      <c r="C1634" s="27"/>
      <c r="D1634" s="27"/>
      <c r="E1634" s="27"/>
      <c r="F1634" s="27"/>
      <c r="G1634" s="27"/>
      <c r="H1634" s="27"/>
    </row>
    <row r="1635" spans="2:8" ht="15" x14ac:dyDescent="0.25">
      <c r="B1635" s="27"/>
      <c r="C1635" s="27"/>
      <c r="D1635" s="27"/>
      <c r="E1635" s="27"/>
      <c r="F1635" s="27"/>
      <c r="G1635" s="27"/>
      <c r="H1635" s="27"/>
    </row>
    <row r="1636" spans="2:8" ht="15" x14ac:dyDescent="0.25">
      <c r="B1636" s="27"/>
      <c r="C1636" s="27"/>
      <c r="D1636" s="27"/>
      <c r="E1636" s="27"/>
      <c r="F1636" s="27"/>
      <c r="G1636" s="27"/>
      <c r="H1636" s="27"/>
    </row>
    <row r="1637" spans="2:8" ht="15" x14ac:dyDescent="0.25">
      <c r="B1637" s="27"/>
      <c r="C1637" s="27"/>
      <c r="D1637" s="27"/>
      <c r="E1637" s="27"/>
      <c r="F1637" s="27"/>
      <c r="G1637" s="27"/>
      <c r="H1637" s="27"/>
    </row>
    <row r="1638" spans="2:8" ht="15" x14ac:dyDescent="0.25">
      <c r="B1638" s="27"/>
      <c r="C1638" s="27"/>
      <c r="D1638" s="27"/>
      <c r="E1638" s="27"/>
      <c r="F1638" s="27"/>
      <c r="G1638" s="27"/>
      <c r="H1638" s="27"/>
    </row>
    <row r="1639" spans="2:8" ht="15" x14ac:dyDescent="0.25">
      <c r="B1639" s="27"/>
      <c r="C1639" s="27"/>
      <c r="D1639" s="27"/>
      <c r="E1639" s="27"/>
      <c r="F1639" s="27"/>
      <c r="G1639" s="27"/>
      <c r="H1639" s="27"/>
    </row>
    <row r="1640" spans="2:8" ht="15" x14ac:dyDescent="0.25">
      <c r="B1640" s="27"/>
      <c r="C1640" s="27"/>
      <c r="D1640" s="27"/>
      <c r="E1640" s="27"/>
      <c r="F1640" s="27"/>
      <c r="G1640" s="27"/>
      <c r="H1640" s="27"/>
    </row>
    <row r="1641" spans="2:8" ht="15" x14ac:dyDescent="0.25">
      <c r="B1641" s="27"/>
      <c r="C1641" s="27"/>
      <c r="D1641" s="27"/>
      <c r="E1641" s="27"/>
      <c r="F1641" s="27"/>
      <c r="G1641" s="27"/>
      <c r="H1641" s="27"/>
    </row>
    <row r="1642" spans="2:8" ht="15" x14ac:dyDescent="0.25">
      <c r="B1642" s="27"/>
      <c r="C1642" s="27"/>
      <c r="D1642" s="27"/>
      <c r="E1642" s="27"/>
      <c r="F1642" s="27"/>
      <c r="G1642" s="27"/>
      <c r="H1642" s="27"/>
    </row>
    <row r="1643" spans="2:8" ht="15" x14ac:dyDescent="0.25">
      <c r="B1643" s="27"/>
      <c r="C1643" s="27"/>
      <c r="D1643" s="27"/>
      <c r="E1643" s="27"/>
      <c r="F1643" s="27"/>
      <c r="G1643" s="27"/>
      <c r="H1643" s="27"/>
    </row>
    <row r="1644" spans="2:8" ht="15" x14ac:dyDescent="0.25">
      <c r="B1644" s="27"/>
      <c r="C1644" s="27"/>
      <c r="D1644" s="27"/>
      <c r="E1644" s="27"/>
      <c r="F1644" s="27"/>
      <c r="G1644" s="27"/>
      <c r="H1644" s="27"/>
    </row>
    <row r="1645" spans="2:8" ht="15" x14ac:dyDescent="0.25">
      <c r="B1645" s="27"/>
      <c r="C1645" s="27"/>
      <c r="D1645" s="27"/>
      <c r="E1645" s="27"/>
      <c r="F1645" s="27"/>
      <c r="G1645" s="27"/>
      <c r="H1645" s="27"/>
    </row>
    <row r="1646" spans="2:8" ht="15" x14ac:dyDescent="0.25">
      <c r="B1646" s="27"/>
      <c r="C1646" s="27"/>
      <c r="D1646" s="27"/>
      <c r="E1646" s="27"/>
      <c r="F1646" s="27"/>
      <c r="G1646" s="27"/>
      <c r="H1646" s="27"/>
    </row>
    <row r="1647" spans="2:8" ht="15" x14ac:dyDescent="0.25">
      <c r="B1647" s="27"/>
      <c r="C1647" s="27"/>
      <c r="D1647" s="27"/>
      <c r="E1647" s="27"/>
      <c r="F1647" s="27"/>
      <c r="G1647" s="27"/>
      <c r="H1647" s="27"/>
    </row>
    <row r="1648" spans="2:8" ht="15" x14ac:dyDescent="0.25">
      <c r="B1648" s="27"/>
      <c r="C1648" s="27"/>
      <c r="D1648" s="27"/>
      <c r="E1648" s="27"/>
      <c r="F1648" s="27"/>
      <c r="G1648" s="27"/>
      <c r="H1648" s="27"/>
    </row>
    <row r="1649" spans="2:8" ht="15" x14ac:dyDescent="0.25">
      <c r="B1649" s="27"/>
      <c r="C1649" s="27"/>
      <c r="D1649" s="27"/>
      <c r="E1649" s="27"/>
      <c r="F1649" s="27"/>
      <c r="G1649" s="27"/>
      <c r="H1649" s="27"/>
    </row>
    <row r="1650" spans="2:8" ht="15" x14ac:dyDescent="0.25">
      <c r="B1650" s="27"/>
      <c r="C1650" s="27"/>
      <c r="D1650" s="27"/>
      <c r="E1650" s="27"/>
      <c r="F1650" s="27"/>
      <c r="G1650" s="27"/>
      <c r="H1650" s="27"/>
    </row>
    <row r="1651" spans="2:8" ht="15" x14ac:dyDescent="0.25">
      <c r="B1651" s="27"/>
      <c r="C1651" s="27"/>
      <c r="D1651" s="27"/>
      <c r="E1651" s="27"/>
      <c r="F1651" s="27"/>
      <c r="G1651" s="27"/>
      <c r="H1651" s="27"/>
    </row>
    <row r="1652" spans="2:8" ht="15" x14ac:dyDescent="0.25">
      <c r="B1652" s="27"/>
      <c r="C1652" s="27"/>
      <c r="D1652" s="27"/>
      <c r="E1652" s="27"/>
      <c r="F1652" s="27"/>
      <c r="G1652" s="27"/>
      <c r="H1652" s="27"/>
    </row>
    <row r="1653" spans="2:8" ht="15" x14ac:dyDescent="0.25">
      <c r="B1653" s="27"/>
      <c r="C1653" s="27"/>
      <c r="D1653" s="27"/>
      <c r="E1653" s="27"/>
      <c r="F1653" s="27"/>
      <c r="G1653" s="27"/>
      <c r="H1653" s="27"/>
    </row>
    <row r="1654" spans="2:8" ht="15" x14ac:dyDescent="0.25">
      <c r="B1654" s="27"/>
      <c r="C1654" s="27"/>
      <c r="D1654" s="27"/>
      <c r="E1654" s="27"/>
      <c r="F1654" s="27"/>
      <c r="G1654" s="27"/>
      <c r="H1654" s="27"/>
    </row>
    <row r="1655" spans="2:8" ht="15" x14ac:dyDescent="0.25">
      <c r="B1655" s="27"/>
      <c r="C1655" s="27"/>
      <c r="D1655" s="27"/>
      <c r="E1655" s="27"/>
      <c r="F1655" s="27"/>
      <c r="G1655" s="27"/>
      <c r="H1655" s="27"/>
    </row>
    <row r="1656" spans="2:8" ht="15" x14ac:dyDescent="0.25">
      <c r="B1656" s="27"/>
      <c r="C1656" s="27"/>
      <c r="D1656" s="27"/>
      <c r="E1656" s="27"/>
      <c r="F1656" s="27"/>
      <c r="G1656" s="27"/>
      <c r="H1656" s="27"/>
    </row>
    <row r="1657" spans="2:8" ht="15" x14ac:dyDescent="0.25">
      <c r="B1657" s="27"/>
      <c r="C1657" s="27"/>
      <c r="D1657" s="27"/>
      <c r="E1657" s="27"/>
      <c r="F1657" s="27"/>
      <c r="G1657" s="27"/>
      <c r="H1657" s="27"/>
    </row>
    <row r="1658" spans="2:8" ht="15" x14ac:dyDescent="0.25">
      <c r="B1658" s="27"/>
      <c r="C1658" s="27"/>
      <c r="D1658" s="27"/>
      <c r="E1658" s="27"/>
      <c r="F1658" s="27"/>
      <c r="G1658" s="27"/>
      <c r="H1658" s="27"/>
    </row>
    <row r="1659" spans="2:8" ht="15" x14ac:dyDescent="0.25">
      <c r="B1659" s="27"/>
      <c r="C1659" s="27"/>
      <c r="D1659" s="27"/>
      <c r="E1659" s="27"/>
      <c r="F1659" s="27"/>
      <c r="G1659" s="27"/>
      <c r="H1659" s="27"/>
    </row>
    <row r="1660" spans="2:8" ht="15" x14ac:dyDescent="0.25">
      <c r="B1660" s="27"/>
      <c r="C1660" s="27"/>
      <c r="D1660" s="27"/>
      <c r="E1660" s="27"/>
      <c r="F1660" s="27"/>
      <c r="G1660" s="27"/>
      <c r="H1660" s="27"/>
    </row>
    <row r="1661" spans="2:8" ht="15" x14ac:dyDescent="0.25">
      <c r="B1661" s="27"/>
      <c r="C1661" s="27"/>
      <c r="D1661" s="27"/>
      <c r="E1661" s="27"/>
      <c r="F1661" s="27"/>
      <c r="G1661" s="27"/>
      <c r="H1661" s="27"/>
    </row>
    <row r="1662" spans="2:8" ht="15" x14ac:dyDescent="0.25">
      <c r="B1662" s="27"/>
      <c r="C1662" s="27"/>
      <c r="D1662" s="27"/>
      <c r="E1662" s="27"/>
      <c r="F1662" s="27"/>
      <c r="G1662" s="27"/>
      <c r="H1662" s="27"/>
    </row>
    <row r="1663" spans="2:8" ht="15" x14ac:dyDescent="0.25">
      <c r="B1663" s="27"/>
      <c r="C1663" s="27"/>
      <c r="D1663" s="27"/>
      <c r="E1663" s="27"/>
      <c r="F1663" s="27"/>
      <c r="G1663" s="27"/>
      <c r="H1663" s="27"/>
    </row>
    <row r="1664" spans="2:8" ht="15" x14ac:dyDescent="0.25">
      <c r="B1664" s="27"/>
      <c r="C1664" s="27"/>
      <c r="D1664" s="27"/>
      <c r="E1664" s="27"/>
      <c r="F1664" s="27"/>
      <c r="G1664" s="27"/>
      <c r="H1664" s="27"/>
    </row>
    <row r="1665" spans="2:8" ht="15" x14ac:dyDescent="0.25">
      <c r="B1665" s="27"/>
      <c r="C1665" s="27"/>
      <c r="D1665" s="27"/>
      <c r="E1665" s="27"/>
      <c r="F1665" s="27"/>
      <c r="G1665" s="27"/>
      <c r="H1665" s="27"/>
    </row>
    <row r="1666" spans="2:8" ht="15" x14ac:dyDescent="0.25">
      <c r="B1666" s="27"/>
      <c r="C1666" s="27"/>
      <c r="D1666" s="27"/>
      <c r="E1666" s="27"/>
      <c r="F1666" s="27"/>
      <c r="G1666" s="27"/>
      <c r="H1666" s="27"/>
    </row>
    <row r="1667" spans="2:8" ht="15" x14ac:dyDescent="0.25">
      <c r="B1667" s="27"/>
      <c r="C1667" s="27"/>
      <c r="D1667" s="27"/>
      <c r="E1667" s="27"/>
      <c r="F1667" s="27"/>
      <c r="G1667" s="27"/>
      <c r="H1667" s="27"/>
    </row>
    <row r="1668" spans="2:8" ht="15" x14ac:dyDescent="0.25">
      <c r="B1668" s="27"/>
      <c r="C1668" s="27"/>
      <c r="D1668" s="27"/>
      <c r="E1668" s="27"/>
      <c r="F1668" s="27"/>
      <c r="G1668" s="27"/>
      <c r="H1668" s="27"/>
    </row>
    <row r="1669" spans="2:8" ht="15" x14ac:dyDescent="0.25">
      <c r="B1669" s="27"/>
      <c r="C1669" s="27"/>
      <c r="D1669" s="27"/>
      <c r="E1669" s="27"/>
      <c r="F1669" s="27"/>
      <c r="G1669" s="27"/>
      <c r="H1669" s="27"/>
    </row>
    <row r="1670" spans="2:8" ht="15" x14ac:dyDescent="0.25">
      <c r="B1670" s="27"/>
      <c r="C1670" s="27"/>
      <c r="D1670" s="27"/>
      <c r="E1670" s="27"/>
      <c r="F1670" s="27"/>
      <c r="G1670" s="27"/>
      <c r="H1670" s="27"/>
    </row>
    <row r="1671" spans="2:8" ht="15" x14ac:dyDescent="0.25">
      <c r="B1671" s="27"/>
      <c r="C1671" s="27"/>
      <c r="D1671" s="27"/>
      <c r="E1671" s="27"/>
      <c r="F1671" s="27"/>
      <c r="G1671" s="27"/>
      <c r="H1671" s="27"/>
    </row>
    <row r="1672" spans="2:8" ht="15" x14ac:dyDescent="0.25">
      <c r="B1672" s="27"/>
      <c r="C1672" s="27"/>
      <c r="D1672" s="27"/>
      <c r="E1672" s="27"/>
      <c r="F1672" s="27"/>
      <c r="G1672" s="27"/>
      <c r="H1672" s="27"/>
    </row>
    <row r="1673" spans="2:8" ht="15" x14ac:dyDescent="0.25">
      <c r="B1673" s="27"/>
      <c r="C1673" s="27"/>
      <c r="D1673" s="27"/>
      <c r="E1673" s="27"/>
      <c r="F1673" s="27"/>
      <c r="G1673" s="27"/>
      <c r="H1673" s="27"/>
    </row>
    <row r="1674" spans="2:8" ht="15" x14ac:dyDescent="0.25">
      <c r="B1674" s="27"/>
      <c r="C1674" s="27"/>
      <c r="D1674" s="27"/>
      <c r="E1674" s="27"/>
      <c r="F1674" s="27"/>
      <c r="G1674" s="27"/>
      <c r="H1674" s="27"/>
    </row>
    <row r="1675" spans="2:8" ht="15" x14ac:dyDescent="0.25">
      <c r="B1675" s="27"/>
      <c r="C1675" s="27"/>
      <c r="D1675" s="27"/>
      <c r="E1675" s="27"/>
      <c r="F1675" s="27"/>
      <c r="G1675" s="27"/>
      <c r="H1675" s="27"/>
    </row>
    <row r="1676" spans="2:8" ht="15" x14ac:dyDescent="0.25">
      <c r="B1676" s="27"/>
      <c r="C1676" s="27"/>
      <c r="D1676" s="27"/>
      <c r="E1676" s="27"/>
      <c r="F1676" s="27"/>
      <c r="G1676" s="27"/>
      <c r="H1676" s="27"/>
    </row>
    <row r="1677" spans="2:8" ht="15" x14ac:dyDescent="0.25">
      <c r="B1677" s="27"/>
      <c r="C1677" s="27"/>
      <c r="D1677" s="27"/>
      <c r="E1677" s="27"/>
      <c r="F1677" s="27"/>
      <c r="G1677" s="27"/>
      <c r="H1677" s="27"/>
    </row>
    <row r="1678" spans="2:8" ht="15" x14ac:dyDescent="0.25">
      <c r="B1678" s="27"/>
      <c r="C1678" s="27"/>
      <c r="D1678" s="27"/>
      <c r="E1678" s="27"/>
      <c r="F1678" s="27"/>
      <c r="G1678" s="27"/>
      <c r="H1678" s="27"/>
    </row>
    <row r="1679" spans="2:8" ht="15" x14ac:dyDescent="0.25">
      <c r="B1679" s="27"/>
      <c r="C1679" s="27"/>
      <c r="D1679" s="27"/>
      <c r="E1679" s="27"/>
      <c r="F1679" s="27"/>
      <c r="G1679" s="27"/>
      <c r="H1679" s="27"/>
    </row>
    <row r="1680" spans="2:8" ht="15" x14ac:dyDescent="0.25">
      <c r="B1680" s="27"/>
      <c r="C1680" s="27"/>
      <c r="D1680" s="27"/>
      <c r="E1680" s="27"/>
      <c r="F1680" s="27"/>
      <c r="G1680" s="27"/>
      <c r="H1680" s="27"/>
    </row>
    <row r="1681" spans="2:8" ht="15" x14ac:dyDescent="0.25">
      <c r="B1681" s="27"/>
      <c r="C1681" s="27"/>
      <c r="D1681" s="27"/>
      <c r="E1681" s="27"/>
      <c r="F1681" s="27"/>
      <c r="G1681" s="27"/>
      <c r="H1681" s="27"/>
    </row>
    <row r="1682" spans="2:8" ht="15" x14ac:dyDescent="0.25">
      <c r="B1682" s="27"/>
      <c r="C1682" s="27"/>
      <c r="D1682" s="27"/>
      <c r="E1682" s="27"/>
      <c r="F1682" s="27"/>
      <c r="G1682" s="27"/>
      <c r="H1682" s="27"/>
    </row>
    <row r="1683" spans="2:8" ht="15" x14ac:dyDescent="0.25">
      <c r="B1683" s="27"/>
      <c r="C1683" s="27"/>
      <c r="D1683" s="27"/>
      <c r="E1683" s="27"/>
      <c r="F1683" s="27"/>
      <c r="G1683" s="27"/>
      <c r="H1683" s="27"/>
    </row>
    <row r="1684" spans="2:8" ht="15" x14ac:dyDescent="0.25">
      <c r="B1684" s="27"/>
      <c r="C1684" s="27"/>
      <c r="D1684" s="27"/>
      <c r="E1684" s="27"/>
      <c r="F1684" s="27"/>
      <c r="G1684" s="27"/>
      <c r="H1684" s="27"/>
    </row>
    <row r="1685" spans="2:8" ht="15" x14ac:dyDescent="0.25">
      <c r="B1685" s="27"/>
      <c r="C1685" s="27"/>
      <c r="D1685" s="27"/>
      <c r="E1685" s="27"/>
      <c r="F1685" s="27"/>
      <c r="G1685" s="27"/>
      <c r="H1685" s="27"/>
    </row>
    <row r="1686" spans="2:8" ht="15" x14ac:dyDescent="0.25">
      <c r="B1686" s="27"/>
      <c r="C1686" s="27"/>
      <c r="D1686" s="27"/>
      <c r="E1686" s="27"/>
      <c r="F1686" s="27"/>
      <c r="G1686" s="27"/>
      <c r="H1686" s="27"/>
    </row>
    <row r="1687" spans="2:8" ht="15" x14ac:dyDescent="0.25">
      <c r="B1687" s="27"/>
      <c r="C1687" s="27"/>
      <c r="D1687" s="27"/>
      <c r="E1687" s="27"/>
      <c r="F1687" s="27"/>
      <c r="G1687" s="27"/>
      <c r="H1687" s="27"/>
    </row>
    <row r="1688" spans="2:8" ht="15" x14ac:dyDescent="0.25">
      <c r="B1688" s="27"/>
      <c r="C1688" s="27"/>
      <c r="D1688" s="27"/>
      <c r="E1688" s="27"/>
      <c r="F1688" s="27"/>
      <c r="G1688" s="27"/>
      <c r="H1688" s="27"/>
    </row>
    <row r="1689" spans="2:8" ht="15" x14ac:dyDescent="0.25">
      <c r="B1689" s="27"/>
      <c r="C1689" s="27"/>
      <c r="D1689" s="27"/>
      <c r="E1689" s="27"/>
      <c r="F1689" s="27"/>
      <c r="G1689" s="27"/>
      <c r="H1689" s="27"/>
    </row>
    <row r="1690" spans="2:8" ht="15" x14ac:dyDescent="0.25">
      <c r="B1690" s="27"/>
      <c r="C1690" s="27"/>
      <c r="D1690" s="27"/>
      <c r="E1690" s="27"/>
      <c r="F1690" s="27"/>
      <c r="G1690" s="27"/>
      <c r="H1690" s="27"/>
    </row>
    <row r="1691" spans="2:8" ht="15" x14ac:dyDescent="0.25">
      <c r="B1691" s="27"/>
      <c r="C1691" s="27"/>
      <c r="D1691" s="27"/>
      <c r="E1691" s="27"/>
      <c r="F1691" s="27"/>
      <c r="G1691" s="27"/>
      <c r="H1691" s="27"/>
    </row>
    <row r="1692" spans="2:8" ht="15" x14ac:dyDescent="0.25">
      <c r="B1692" s="27"/>
      <c r="C1692" s="27"/>
      <c r="D1692" s="27"/>
      <c r="E1692" s="27"/>
      <c r="F1692" s="27"/>
      <c r="G1692" s="27"/>
      <c r="H1692" s="27"/>
    </row>
    <row r="1693" spans="2:8" ht="15" x14ac:dyDescent="0.25">
      <c r="B1693" s="27"/>
      <c r="C1693" s="27"/>
      <c r="D1693" s="27"/>
      <c r="E1693" s="27"/>
      <c r="F1693" s="27"/>
      <c r="G1693" s="27"/>
      <c r="H1693" s="27"/>
    </row>
    <row r="1694" spans="2:8" ht="15" x14ac:dyDescent="0.25">
      <c r="B1694" s="27"/>
      <c r="C1694" s="27"/>
      <c r="D1694" s="27"/>
      <c r="E1694" s="27"/>
      <c r="F1694" s="27"/>
      <c r="G1694" s="27"/>
      <c r="H1694" s="27"/>
    </row>
    <row r="1695" spans="2:8" ht="15" x14ac:dyDescent="0.25">
      <c r="B1695" s="27"/>
      <c r="C1695" s="27"/>
      <c r="D1695" s="27"/>
      <c r="E1695" s="27"/>
      <c r="F1695" s="27"/>
      <c r="G1695" s="27"/>
      <c r="H1695" s="27"/>
    </row>
    <row r="1696" spans="2:8" ht="15" x14ac:dyDescent="0.25">
      <c r="B1696" s="27"/>
      <c r="C1696" s="27"/>
      <c r="D1696" s="27"/>
      <c r="E1696" s="27"/>
      <c r="F1696" s="27"/>
      <c r="G1696" s="27"/>
      <c r="H1696" s="27"/>
    </row>
    <row r="1697" spans="2:8" ht="15" x14ac:dyDescent="0.25">
      <c r="B1697" s="27"/>
      <c r="C1697" s="27"/>
      <c r="D1697" s="27"/>
      <c r="E1697" s="27"/>
      <c r="F1697" s="27"/>
      <c r="G1697" s="27"/>
      <c r="H1697" s="27"/>
    </row>
    <row r="1698" spans="2:8" ht="15" x14ac:dyDescent="0.25">
      <c r="B1698" s="27"/>
      <c r="C1698" s="27"/>
      <c r="D1698" s="27"/>
      <c r="E1698" s="27"/>
      <c r="F1698" s="27"/>
      <c r="G1698" s="27"/>
      <c r="H1698" s="27"/>
    </row>
    <row r="1699" spans="2:8" ht="15" x14ac:dyDescent="0.25">
      <c r="B1699" s="27"/>
      <c r="C1699" s="27"/>
      <c r="D1699" s="27"/>
      <c r="E1699" s="27"/>
      <c r="F1699" s="27"/>
      <c r="G1699" s="27"/>
      <c r="H1699" s="27"/>
    </row>
    <row r="1700" spans="2:8" ht="15" x14ac:dyDescent="0.25">
      <c r="B1700" s="27"/>
      <c r="C1700" s="27"/>
      <c r="D1700" s="27"/>
      <c r="E1700" s="27"/>
      <c r="F1700" s="27"/>
      <c r="G1700" s="27"/>
      <c r="H1700" s="27"/>
    </row>
    <row r="1701" spans="2:8" ht="15" x14ac:dyDescent="0.25">
      <c r="B1701" s="27"/>
      <c r="C1701" s="27"/>
      <c r="D1701" s="27"/>
      <c r="E1701" s="27"/>
      <c r="F1701" s="27"/>
      <c r="G1701" s="27"/>
      <c r="H1701" s="27"/>
    </row>
    <row r="1702" spans="2:8" ht="15" x14ac:dyDescent="0.25">
      <c r="B1702" s="27"/>
      <c r="C1702" s="27"/>
      <c r="D1702" s="27"/>
      <c r="E1702" s="27"/>
      <c r="F1702" s="27"/>
      <c r="G1702" s="27"/>
      <c r="H1702" s="27"/>
    </row>
    <row r="1703" spans="2:8" ht="15" x14ac:dyDescent="0.25">
      <c r="B1703" s="27"/>
      <c r="C1703" s="27"/>
      <c r="D1703" s="27"/>
      <c r="E1703" s="27"/>
      <c r="F1703" s="27"/>
      <c r="G1703" s="27"/>
      <c r="H1703" s="27"/>
    </row>
    <row r="1704" spans="2:8" ht="15" x14ac:dyDescent="0.25">
      <c r="B1704" s="27"/>
      <c r="C1704" s="27"/>
      <c r="D1704" s="27"/>
      <c r="E1704" s="27"/>
      <c r="F1704" s="27"/>
      <c r="G1704" s="27"/>
      <c r="H1704" s="27"/>
    </row>
    <row r="1705" spans="2:8" ht="15" x14ac:dyDescent="0.25">
      <c r="B1705" s="27"/>
      <c r="C1705" s="27"/>
      <c r="D1705" s="27"/>
      <c r="E1705" s="27"/>
      <c r="F1705" s="27"/>
      <c r="G1705" s="27"/>
      <c r="H1705" s="27"/>
    </row>
    <row r="1706" spans="2:8" ht="15" x14ac:dyDescent="0.25">
      <c r="B1706" s="27"/>
      <c r="C1706" s="27"/>
      <c r="D1706" s="27"/>
      <c r="E1706" s="27"/>
      <c r="F1706" s="27"/>
      <c r="G1706" s="27"/>
      <c r="H1706" s="27"/>
    </row>
    <row r="1707" spans="2:8" ht="15" x14ac:dyDescent="0.25">
      <c r="B1707" s="27"/>
      <c r="C1707" s="27"/>
      <c r="D1707" s="27"/>
      <c r="E1707" s="27"/>
      <c r="F1707" s="27"/>
      <c r="G1707" s="27"/>
      <c r="H1707" s="27"/>
    </row>
    <row r="1708" spans="2:8" ht="15" x14ac:dyDescent="0.25">
      <c r="B1708" s="27"/>
      <c r="C1708" s="27"/>
      <c r="D1708" s="27"/>
      <c r="E1708" s="27"/>
      <c r="F1708" s="27"/>
      <c r="G1708" s="27"/>
      <c r="H1708" s="27"/>
    </row>
    <row r="1709" spans="2:8" ht="15" x14ac:dyDescent="0.25">
      <c r="B1709" s="27"/>
      <c r="C1709" s="27"/>
      <c r="D1709" s="27"/>
      <c r="E1709" s="27"/>
      <c r="F1709" s="27"/>
      <c r="G1709" s="27"/>
      <c r="H1709" s="27"/>
    </row>
    <row r="1710" spans="2:8" ht="15" x14ac:dyDescent="0.25">
      <c r="B1710" s="27"/>
      <c r="C1710" s="27"/>
      <c r="D1710" s="27"/>
      <c r="E1710" s="27"/>
      <c r="F1710" s="27"/>
      <c r="G1710" s="27"/>
      <c r="H1710" s="27"/>
    </row>
    <row r="1711" spans="2:8" ht="15" x14ac:dyDescent="0.25">
      <c r="B1711" s="27"/>
      <c r="C1711" s="27"/>
      <c r="D1711" s="27"/>
      <c r="E1711" s="27"/>
      <c r="F1711" s="27"/>
      <c r="G1711" s="27"/>
      <c r="H1711" s="27"/>
    </row>
    <row r="1712" spans="2:8" ht="15" x14ac:dyDescent="0.25">
      <c r="B1712" s="27"/>
      <c r="C1712" s="27"/>
      <c r="D1712" s="27"/>
      <c r="E1712" s="27"/>
      <c r="F1712" s="27"/>
      <c r="G1712" s="27"/>
      <c r="H1712" s="27"/>
    </row>
    <row r="1713" spans="2:8" ht="15" x14ac:dyDescent="0.25">
      <c r="B1713" s="27"/>
      <c r="C1713" s="27"/>
      <c r="D1713" s="27"/>
      <c r="E1713" s="27"/>
      <c r="F1713" s="27"/>
      <c r="G1713" s="27"/>
      <c r="H1713" s="27"/>
    </row>
    <row r="1714" spans="2:8" ht="15" x14ac:dyDescent="0.25">
      <c r="B1714" s="27"/>
      <c r="C1714" s="27"/>
      <c r="D1714" s="27"/>
      <c r="E1714" s="27"/>
      <c r="F1714" s="27"/>
      <c r="G1714" s="27"/>
      <c r="H1714" s="27"/>
    </row>
    <row r="1715" spans="2:8" ht="15" x14ac:dyDescent="0.25">
      <c r="B1715" s="27"/>
      <c r="C1715" s="27"/>
      <c r="D1715" s="27"/>
      <c r="E1715" s="27"/>
      <c r="F1715" s="27"/>
      <c r="G1715" s="27"/>
      <c r="H1715" s="27"/>
    </row>
    <row r="1716" spans="2:8" ht="15" x14ac:dyDescent="0.25">
      <c r="B1716" s="27"/>
      <c r="C1716" s="27"/>
      <c r="D1716" s="27"/>
      <c r="E1716" s="27"/>
      <c r="F1716" s="27"/>
      <c r="G1716" s="27"/>
      <c r="H1716" s="27"/>
    </row>
    <row r="1717" spans="2:8" ht="15" x14ac:dyDescent="0.25">
      <c r="B1717" s="27"/>
      <c r="C1717" s="27"/>
      <c r="D1717" s="27"/>
      <c r="E1717" s="27"/>
      <c r="F1717" s="27"/>
      <c r="G1717" s="27"/>
      <c r="H1717" s="27"/>
    </row>
    <row r="1718" spans="2:8" ht="15" x14ac:dyDescent="0.25">
      <c r="B1718" s="27"/>
      <c r="C1718" s="27"/>
      <c r="D1718" s="27"/>
      <c r="E1718" s="27"/>
      <c r="F1718" s="27"/>
      <c r="G1718" s="27"/>
      <c r="H1718" s="27"/>
    </row>
    <row r="1719" spans="2:8" ht="15" x14ac:dyDescent="0.25">
      <c r="B1719" s="27"/>
      <c r="C1719" s="27"/>
      <c r="D1719" s="27"/>
      <c r="E1719" s="27"/>
      <c r="F1719" s="27"/>
      <c r="G1719" s="27"/>
      <c r="H1719" s="27"/>
    </row>
    <row r="1720" spans="2:8" ht="15" x14ac:dyDescent="0.25">
      <c r="B1720" s="27"/>
      <c r="C1720" s="27"/>
      <c r="D1720" s="27"/>
      <c r="E1720" s="27"/>
      <c r="F1720" s="27"/>
      <c r="G1720" s="27"/>
      <c r="H1720" s="27"/>
    </row>
    <row r="1721" spans="2:8" ht="15" x14ac:dyDescent="0.25">
      <c r="B1721" s="27"/>
      <c r="C1721" s="27"/>
      <c r="D1721" s="27"/>
      <c r="E1721" s="27"/>
      <c r="F1721" s="27"/>
      <c r="G1721" s="27"/>
      <c r="H1721" s="27"/>
    </row>
    <row r="1722" spans="2:8" ht="15" x14ac:dyDescent="0.25">
      <c r="B1722" s="27"/>
      <c r="C1722" s="27"/>
      <c r="D1722" s="27"/>
      <c r="E1722" s="27"/>
      <c r="F1722" s="27"/>
      <c r="G1722" s="27"/>
      <c r="H1722" s="27"/>
    </row>
    <row r="1723" spans="2:8" ht="15" x14ac:dyDescent="0.25">
      <c r="B1723" s="27"/>
      <c r="C1723" s="27"/>
      <c r="D1723" s="27"/>
      <c r="E1723" s="27"/>
      <c r="F1723" s="27"/>
      <c r="G1723" s="27"/>
      <c r="H1723" s="27"/>
    </row>
    <row r="1724" spans="2:8" ht="15" x14ac:dyDescent="0.25">
      <c r="B1724" s="27"/>
      <c r="C1724" s="27"/>
      <c r="D1724" s="27"/>
      <c r="E1724" s="27"/>
      <c r="F1724" s="27"/>
      <c r="G1724" s="27"/>
      <c r="H1724" s="27"/>
    </row>
    <row r="1725" spans="2:8" ht="15" x14ac:dyDescent="0.25">
      <c r="B1725" s="27"/>
      <c r="C1725" s="27"/>
      <c r="D1725" s="27"/>
      <c r="E1725" s="27"/>
      <c r="F1725" s="27"/>
      <c r="G1725" s="27"/>
      <c r="H1725" s="27"/>
    </row>
    <row r="1726" spans="2:8" ht="15" x14ac:dyDescent="0.25">
      <c r="B1726" s="27"/>
      <c r="C1726" s="27"/>
      <c r="D1726" s="27"/>
      <c r="E1726" s="27"/>
      <c r="F1726" s="27"/>
      <c r="G1726" s="27"/>
      <c r="H1726" s="27"/>
    </row>
    <row r="1727" spans="2:8" ht="15" x14ac:dyDescent="0.25">
      <c r="B1727" s="27"/>
      <c r="C1727" s="27"/>
      <c r="D1727" s="27"/>
      <c r="E1727" s="27"/>
      <c r="F1727" s="27"/>
      <c r="G1727" s="27"/>
      <c r="H1727" s="27"/>
    </row>
    <row r="1728" spans="2:8" ht="15" x14ac:dyDescent="0.25">
      <c r="B1728" s="27"/>
      <c r="C1728" s="27"/>
      <c r="D1728" s="27"/>
      <c r="E1728" s="27"/>
      <c r="F1728" s="27"/>
      <c r="G1728" s="27"/>
      <c r="H1728" s="27"/>
    </row>
    <row r="1729" spans="2:8" ht="15" x14ac:dyDescent="0.25">
      <c r="B1729" s="27"/>
      <c r="C1729" s="27"/>
      <c r="D1729" s="27"/>
      <c r="E1729" s="27"/>
      <c r="F1729" s="27"/>
      <c r="G1729" s="27"/>
      <c r="H1729" s="27"/>
    </row>
    <row r="1730" spans="2:8" ht="15" x14ac:dyDescent="0.25">
      <c r="B1730" s="27"/>
      <c r="C1730" s="27"/>
      <c r="D1730" s="27"/>
      <c r="E1730" s="27"/>
      <c r="F1730" s="27"/>
      <c r="G1730" s="27"/>
      <c r="H1730" s="27"/>
    </row>
    <row r="1731" spans="2:8" ht="15" x14ac:dyDescent="0.25">
      <c r="B1731" s="27"/>
      <c r="C1731" s="27"/>
      <c r="D1731" s="27"/>
      <c r="E1731" s="27"/>
      <c r="F1731" s="27"/>
      <c r="G1731" s="27"/>
      <c r="H1731" s="27"/>
    </row>
    <row r="1732" spans="2:8" ht="15" x14ac:dyDescent="0.25">
      <c r="B1732" s="27"/>
      <c r="C1732" s="27"/>
      <c r="D1732" s="27"/>
      <c r="E1732" s="27"/>
      <c r="F1732" s="27"/>
      <c r="G1732" s="27"/>
      <c r="H1732" s="27"/>
    </row>
    <row r="1733" spans="2:8" ht="15" x14ac:dyDescent="0.25">
      <c r="B1733" s="27"/>
      <c r="C1733" s="27"/>
      <c r="D1733" s="27"/>
      <c r="E1733" s="27"/>
      <c r="F1733" s="27"/>
      <c r="G1733" s="27"/>
      <c r="H1733" s="27"/>
    </row>
    <row r="1734" spans="2:8" ht="15" x14ac:dyDescent="0.25">
      <c r="B1734" s="27"/>
      <c r="C1734" s="27"/>
      <c r="D1734" s="27"/>
      <c r="E1734" s="27"/>
      <c r="F1734" s="27"/>
      <c r="G1734" s="27"/>
      <c r="H1734" s="27"/>
    </row>
    <row r="1735" spans="2:8" ht="15" x14ac:dyDescent="0.25">
      <c r="B1735" s="27"/>
      <c r="C1735" s="27"/>
      <c r="D1735" s="27"/>
      <c r="E1735" s="27"/>
      <c r="F1735" s="27"/>
      <c r="G1735" s="27"/>
      <c r="H1735" s="27"/>
    </row>
    <row r="1736" spans="2:8" ht="15" x14ac:dyDescent="0.25">
      <c r="B1736" s="27"/>
      <c r="C1736" s="27"/>
      <c r="D1736" s="27"/>
      <c r="E1736" s="27"/>
      <c r="F1736" s="27"/>
      <c r="G1736" s="27"/>
      <c r="H1736" s="27"/>
    </row>
    <row r="1737" spans="2:8" ht="15" x14ac:dyDescent="0.25">
      <c r="B1737" s="27"/>
      <c r="C1737" s="27"/>
      <c r="D1737" s="27"/>
      <c r="E1737" s="27"/>
      <c r="F1737" s="27"/>
      <c r="G1737" s="27"/>
      <c r="H1737" s="27"/>
    </row>
    <row r="1738" spans="2:8" ht="15" x14ac:dyDescent="0.25">
      <c r="B1738" s="27"/>
      <c r="C1738" s="27"/>
      <c r="D1738" s="27"/>
      <c r="E1738" s="27"/>
      <c r="F1738" s="27"/>
      <c r="G1738" s="27"/>
      <c r="H1738" s="27"/>
    </row>
    <row r="1739" spans="2:8" ht="15" x14ac:dyDescent="0.25">
      <c r="B1739" s="27"/>
      <c r="C1739" s="27"/>
      <c r="D1739" s="27"/>
      <c r="E1739" s="27"/>
      <c r="F1739" s="27"/>
      <c r="G1739" s="27"/>
      <c r="H1739" s="27"/>
    </row>
    <row r="1740" spans="2:8" ht="15" x14ac:dyDescent="0.25">
      <c r="B1740" s="27"/>
      <c r="C1740" s="27"/>
      <c r="D1740" s="27"/>
      <c r="E1740" s="27"/>
      <c r="F1740" s="27"/>
      <c r="G1740" s="27"/>
      <c r="H1740" s="27"/>
    </row>
    <row r="1741" spans="2:8" ht="15" x14ac:dyDescent="0.25">
      <c r="B1741" s="27"/>
      <c r="C1741" s="27"/>
      <c r="D1741" s="27"/>
      <c r="E1741" s="27"/>
      <c r="F1741" s="27"/>
      <c r="G1741" s="27"/>
      <c r="H1741" s="27"/>
    </row>
    <row r="1742" spans="2:8" ht="15" x14ac:dyDescent="0.25">
      <c r="B1742" s="27"/>
      <c r="C1742" s="27"/>
      <c r="D1742" s="27"/>
      <c r="E1742" s="27"/>
      <c r="F1742" s="27"/>
      <c r="G1742" s="27"/>
      <c r="H1742" s="27"/>
    </row>
    <row r="1743" spans="2:8" ht="15" x14ac:dyDescent="0.25">
      <c r="B1743" s="27"/>
      <c r="C1743" s="27"/>
      <c r="D1743" s="27"/>
      <c r="E1743" s="27"/>
      <c r="F1743" s="27"/>
      <c r="G1743" s="27"/>
      <c r="H1743" s="27"/>
    </row>
    <row r="1744" spans="2:8" ht="15" x14ac:dyDescent="0.25">
      <c r="B1744" s="27"/>
      <c r="C1744" s="27"/>
      <c r="D1744" s="27"/>
      <c r="E1744" s="27"/>
      <c r="F1744" s="27"/>
      <c r="G1744" s="27"/>
      <c r="H1744" s="27"/>
    </row>
    <row r="1745" spans="2:8" ht="15" x14ac:dyDescent="0.25">
      <c r="B1745" s="27"/>
      <c r="C1745" s="27"/>
      <c r="D1745" s="27"/>
      <c r="E1745" s="27"/>
      <c r="F1745" s="27"/>
      <c r="G1745" s="27"/>
      <c r="H1745" s="27"/>
    </row>
    <row r="1746" spans="2:8" ht="15" x14ac:dyDescent="0.25">
      <c r="B1746" s="27"/>
      <c r="C1746" s="27"/>
      <c r="D1746" s="27"/>
      <c r="E1746" s="27"/>
      <c r="F1746" s="27"/>
      <c r="G1746" s="27"/>
      <c r="H1746" s="27"/>
    </row>
    <row r="1747" spans="2:8" ht="15" x14ac:dyDescent="0.25">
      <c r="B1747" s="27"/>
      <c r="C1747" s="27"/>
      <c r="D1747" s="27"/>
      <c r="E1747" s="27"/>
      <c r="F1747" s="27"/>
      <c r="G1747" s="27"/>
      <c r="H1747" s="27"/>
    </row>
    <row r="1748" spans="2:8" ht="15" x14ac:dyDescent="0.25">
      <c r="B1748" s="27"/>
      <c r="C1748" s="27"/>
      <c r="D1748" s="27"/>
      <c r="E1748" s="27"/>
      <c r="F1748" s="27"/>
      <c r="G1748" s="27"/>
      <c r="H1748" s="27"/>
    </row>
    <row r="1749" spans="2:8" ht="15" x14ac:dyDescent="0.25">
      <c r="B1749" s="27"/>
      <c r="C1749" s="27"/>
      <c r="D1749" s="27"/>
      <c r="E1749" s="27"/>
      <c r="F1749" s="27"/>
      <c r="G1749" s="27"/>
      <c r="H1749" s="27"/>
    </row>
  </sheetData>
  <hyperlinks>
    <hyperlink ref="C356" r:id="rId1" display="https://www.omim.org/entry/613978" xr:uid="{00000000-0004-0000-0000-000000000000}"/>
    <hyperlink ref="D356" r:id="rId2" display="https://www.omim.org/entry/604131" xr:uid="{00000000-0004-0000-0000-000001000000}"/>
    <hyperlink ref="C357" r:id="rId3" display="https://www.omim.org/entry/613978" xr:uid="{00000000-0004-0000-0000-000002000000}"/>
    <hyperlink ref="D357" r:id="rId4" display="https://www.omim.org/entry/604131" xr:uid="{00000000-0004-0000-0000-000003000000}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D06C-9DFA-425F-8CDE-38BE79CC1253}">
  <dimension ref="A1:I1749"/>
  <sheetViews>
    <sheetView zoomScale="80" zoomScaleNormal="80" workbookViewId="0">
      <selection activeCell="I28" sqref="I28"/>
    </sheetView>
  </sheetViews>
  <sheetFormatPr baseColWidth="10" defaultColWidth="11.5703125" defaultRowHeight="13.9" customHeight="1" x14ac:dyDescent="0.25"/>
  <cols>
    <col min="1" max="1" width="15.5703125" style="1" customWidth="1"/>
    <col min="2" max="2" width="13.7109375" style="2" customWidth="1"/>
    <col min="3" max="3" width="15.5703125" style="3" customWidth="1"/>
    <col min="4" max="7" width="11.5703125" style="4"/>
    <col min="8" max="8" width="11.5703125" style="5"/>
    <col min="9" max="9" width="165.5703125" style="7" customWidth="1"/>
    <col min="10" max="16384" width="11.5703125" style="7"/>
  </cols>
  <sheetData>
    <row r="1" spans="1:9" s="11" customFormat="1" ht="15" x14ac:dyDescent="0.25">
      <c r="A1" s="8" t="s">
        <v>0</v>
      </c>
      <c r="B1" s="9" t="s">
        <v>1</v>
      </c>
      <c r="C1" s="4"/>
      <c r="D1" s="4"/>
      <c r="E1" s="10" t="s">
        <v>2</v>
      </c>
      <c r="F1" s="4"/>
      <c r="G1" s="4"/>
      <c r="H1" s="5"/>
      <c r="I1" s="28" t="s">
        <v>2224</v>
      </c>
    </row>
    <row r="2" spans="1:9" ht="15" x14ac:dyDescent="0.25">
      <c r="A2" s="1" t="s">
        <v>4</v>
      </c>
      <c r="B2" s="12">
        <f>HYPERLINK("https://www.omim.org/entry/605378",605378)</f>
        <v>605378</v>
      </c>
      <c r="C2" s="13">
        <f>HYPERLINK("https://www.omim.org/entry/231550",231550)</f>
        <v>231550</v>
      </c>
      <c r="I2" s="6" t="s">
        <v>1497</v>
      </c>
    </row>
    <row r="3" spans="1:9" ht="15" x14ac:dyDescent="0.25">
      <c r="A3" s="1" t="s">
        <v>6</v>
      </c>
      <c r="B3" s="12">
        <f>HYPERLINK("https://www.omim.org/entry/605113",605113)</f>
        <v>605113</v>
      </c>
      <c r="C3" s="13">
        <f>HYPERLINK("https://www.omim.org/entry/238700",238700)</f>
        <v>238700</v>
      </c>
      <c r="I3" s="6" t="s">
        <v>1498</v>
      </c>
    </row>
    <row r="4" spans="1:9" ht="15" x14ac:dyDescent="0.25">
      <c r="A4" s="1" t="s">
        <v>8</v>
      </c>
      <c r="B4" s="12">
        <f>HYPERLINK("https://www.omim.org/entry/603234",603234)</f>
        <v>603234</v>
      </c>
      <c r="C4" s="13">
        <f>HYPERLINK("https://www.omim.org/entry/614473",614473)</f>
        <v>614473</v>
      </c>
      <c r="I4" s="6" t="s">
        <v>1499</v>
      </c>
    </row>
    <row r="5" spans="1:9" ht="15" x14ac:dyDescent="0.25">
      <c r="A5" s="1" t="s">
        <v>10</v>
      </c>
      <c r="B5" s="12">
        <f>HYPERLINK("https://www.omim.org/entry/600509",600509)</f>
        <v>600509</v>
      </c>
      <c r="C5" s="13">
        <f>HYPERLINK("https://www.omim.org/entry/618857",618857)</f>
        <v>618857</v>
      </c>
      <c r="D5" s="14">
        <f>HYPERLINK("https://www.omim.org/entry/610374",610374)</f>
        <v>610374</v>
      </c>
      <c r="E5" s="14">
        <f>HYPERLINK("https://www.omim.org/entry/256450",256450)</f>
        <v>256450</v>
      </c>
      <c r="I5" s="6" t="s">
        <v>1500</v>
      </c>
    </row>
    <row r="6" spans="1:9" ht="15" x14ac:dyDescent="0.25">
      <c r="A6" s="1" t="s">
        <v>12</v>
      </c>
      <c r="B6" s="12">
        <f>HYPERLINK("https://www.omim.org/entry/300371",300371)</f>
        <v>300371</v>
      </c>
      <c r="C6" s="13">
        <f>HYPERLINK("https://www.omim.org/entry/300100",300100)</f>
        <v>300100</v>
      </c>
      <c r="I6" s="6" t="s">
        <v>1501</v>
      </c>
    </row>
    <row r="7" spans="1:9" ht="15" x14ac:dyDescent="0.25">
      <c r="A7" s="1" t="s">
        <v>14</v>
      </c>
      <c r="B7" s="12">
        <f>HYPERLINK("https://www.omim.org/entry/603214",603214)</f>
        <v>603214</v>
      </c>
      <c r="C7" s="13">
        <f>HYPERLINK("https://www.omim.org/entry/614857",614857)</f>
        <v>614857</v>
      </c>
      <c r="I7" s="6" t="s">
        <v>1502</v>
      </c>
    </row>
    <row r="8" spans="1:9" ht="15" x14ac:dyDescent="0.25">
      <c r="A8" s="1" t="s">
        <v>16</v>
      </c>
      <c r="B8" s="12">
        <f>HYPERLINK("https://www.omim.org/entry/605459",605459)</f>
        <v>605459</v>
      </c>
      <c r="C8" s="13">
        <f>HYPERLINK("https://www.omim.org/entry/618666",618666)</f>
        <v>618666</v>
      </c>
      <c r="I8" s="6" t="s">
        <v>17</v>
      </c>
    </row>
    <row r="9" spans="1:9" ht="15" x14ac:dyDescent="0.25">
      <c r="A9" s="1" t="s">
        <v>18</v>
      </c>
      <c r="B9" s="12">
        <f>HYPERLINK("https://www.omim.org/entry/605460",605460)</f>
        <v>605460</v>
      </c>
      <c r="C9" s="13">
        <f>HYPERLINK("https://www.omim.org/entry/210250",210250)</f>
        <v>210250</v>
      </c>
      <c r="I9" s="6" t="s">
        <v>17</v>
      </c>
    </row>
    <row r="10" spans="1:9" ht="15" x14ac:dyDescent="0.25">
      <c r="A10" s="1" t="s">
        <v>19</v>
      </c>
      <c r="B10" s="12">
        <f>HYPERLINK("https://www.omim.org/entry/607008",607008)</f>
        <v>607008</v>
      </c>
      <c r="C10" s="13">
        <f>HYPERLINK("https://www.omim.org/entry/201450",201450)</f>
        <v>201450</v>
      </c>
      <c r="I10" s="6" t="s">
        <v>20</v>
      </c>
    </row>
    <row r="11" spans="1:9" ht="15" x14ac:dyDescent="0.25">
      <c r="A11" s="1" t="s">
        <v>21</v>
      </c>
      <c r="B11" s="12">
        <f>HYPERLINK("https://www.omim.org/entry/600301",600301)</f>
        <v>600301</v>
      </c>
      <c r="C11" s="13">
        <f>HYPERLINK("https://www.omim.org/entry/610006",610006)</f>
        <v>610006</v>
      </c>
      <c r="I11" s="6" t="s">
        <v>1503</v>
      </c>
    </row>
    <row r="12" spans="1:9" ht="15" x14ac:dyDescent="0.25">
      <c r="A12" s="1" t="s">
        <v>23</v>
      </c>
      <c r="B12" s="12">
        <f>HYPERLINK("https://www.omim.org/entry/609575",609575)</f>
        <v>609575</v>
      </c>
      <c r="C12" s="13">
        <f>HYPERLINK("https://www.omim.org/entry/201475",201475)</f>
        <v>201475</v>
      </c>
      <c r="I12" s="6" t="s">
        <v>1504</v>
      </c>
    </row>
    <row r="13" spans="1:9" ht="15" x14ac:dyDescent="0.25">
      <c r="A13" s="1" t="s">
        <v>25</v>
      </c>
      <c r="B13" s="12">
        <f>HYPERLINK("https://www.omim.org/entry/607809",607809)</f>
        <v>607809</v>
      </c>
      <c r="C13" s="13">
        <f>HYPERLINK("https://www.omim.org/entry/203750",203750)</f>
        <v>203750</v>
      </c>
      <c r="I13" s="6" t="s">
        <v>1505</v>
      </c>
    </row>
    <row r="14" spans="1:9" ht="15" x14ac:dyDescent="0.25">
      <c r="A14" s="1" t="s">
        <v>27</v>
      </c>
      <c r="B14" s="2">
        <f>HYPERLINK("https://www.omim.org/entry/614245",614245)</f>
        <v>614245</v>
      </c>
      <c r="C14" s="3">
        <f>HYPERLINK("https://www.omim.org/entry/614265",614265)</f>
        <v>614265</v>
      </c>
      <c r="I14" s="6" t="s">
        <v>1506</v>
      </c>
    </row>
    <row r="15" spans="1:9" ht="15" x14ac:dyDescent="0.25">
      <c r="A15" s="1" t="s">
        <v>29</v>
      </c>
      <c r="B15" s="2">
        <f>HYPERLINK("https://www.omim.org/entry/601284",601284)</f>
        <v>601284</v>
      </c>
      <c r="C15" s="3">
        <f>HYPERLINK("https://www.omim.org/entry/600376",600376)</f>
        <v>600376</v>
      </c>
      <c r="I15" s="6" t="s">
        <v>1507</v>
      </c>
    </row>
    <row r="16" spans="1:9" ht="15" x14ac:dyDescent="0.25">
      <c r="A16" s="1" t="s">
        <v>31</v>
      </c>
      <c r="B16" s="2">
        <f>HYPERLINK("https://www.omim.org/entry/608958",608958)</f>
        <v>608958</v>
      </c>
      <c r="C16" s="3">
        <f>HYPERLINK("https://www.omim.org/entry/102700",102700)</f>
        <v>102700</v>
      </c>
      <c r="I16" s="6" t="s">
        <v>1508</v>
      </c>
    </row>
    <row r="17" spans="1:9" ht="15" x14ac:dyDescent="0.25">
      <c r="A17" s="1" t="s">
        <v>33</v>
      </c>
      <c r="B17" s="2">
        <f>HYPERLINK("https://www.omim.org/entry/607575",607575)</f>
        <v>607575</v>
      </c>
      <c r="C17" s="3">
        <f>HYPERLINK("https://www.omim.org/entry/615688",615688)</f>
        <v>615688</v>
      </c>
      <c r="I17" s="6" t="s">
        <v>1509</v>
      </c>
    </row>
    <row r="18" spans="1:9" ht="15" x14ac:dyDescent="0.25">
      <c r="A18" s="1" t="s">
        <v>35</v>
      </c>
      <c r="B18" s="2">
        <f>HYPERLINK("https://www.omim.org/entry/603639",603639)</f>
        <v>603639</v>
      </c>
      <c r="C18" s="3">
        <f>HYPERLINK("https://www.omim.org/entry/614328",614328)</f>
        <v>614328</v>
      </c>
      <c r="I18" s="6" t="s">
        <v>1510</v>
      </c>
    </row>
    <row r="19" spans="1:9" ht="15" x14ac:dyDescent="0.25">
      <c r="A19" s="1" t="s">
        <v>37</v>
      </c>
      <c r="B19" s="2">
        <f>HYPERLINK("https://www.omim.org/entry/604134",604134)</f>
        <v>604134</v>
      </c>
      <c r="C19" s="3">
        <f>HYPERLINK("https://www.omim.org/entry/274150",274150)</f>
        <v>274150</v>
      </c>
      <c r="I19" s="6" t="s">
        <v>1511</v>
      </c>
    </row>
    <row r="20" spans="1:9" ht="15" x14ac:dyDescent="0.25">
      <c r="A20" s="1" t="s">
        <v>39</v>
      </c>
      <c r="B20" s="2">
        <f>HYPERLINK("https://www.omim.org/entry/146920",146920)</f>
        <v>146920</v>
      </c>
      <c r="C20" s="3">
        <f>HYPERLINK("https://www.omim.org/entry/615010",615010)</f>
        <v>615010</v>
      </c>
      <c r="I20" s="6" t="s">
        <v>1512</v>
      </c>
    </row>
    <row r="21" spans="1:9" ht="15" x14ac:dyDescent="0.25">
      <c r="A21" s="1" t="s">
        <v>41</v>
      </c>
      <c r="B21" s="2">
        <f>HYPERLINK("https://www.omim.org/entry/602851",602851)</f>
        <v>602851</v>
      </c>
      <c r="C21" s="3">
        <f>HYPERLINK("https://www.omim.org/entry/605472",605472)</f>
        <v>605472</v>
      </c>
      <c r="I21" s="6" t="s">
        <v>1513</v>
      </c>
    </row>
    <row r="22" spans="1:9" ht="15" x14ac:dyDescent="0.25">
      <c r="A22" s="1" t="s">
        <v>43</v>
      </c>
      <c r="B22" s="2">
        <f>HYPERLINK("https://www.omim.org/entry/610860",610860)</f>
        <v>610860</v>
      </c>
      <c r="C22" s="3">
        <f>HYPERLINK("https://www.omim.org/entry/232400",232400)</f>
        <v>232400</v>
      </c>
      <c r="I22" s="6" t="s">
        <v>1514</v>
      </c>
    </row>
    <row r="23" spans="1:9" ht="15" x14ac:dyDescent="0.25">
      <c r="A23" s="1" t="s">
        <v>45</v>
      </c>
      <c r="B23" s="2">
        <f>HYPERLINK("https://www.omim.org/entry/603100",603100)</f>
        <v>603100</v>
      </c>
      <c r="C23" s="3">
        <f>HYPERLINK("https://www.omim.org/entry/608594",608594)</f>
        <v>608594</v>
      </c>
      <c r="I23" s="6" t="s">
        <v>1515</v>
      </c>
    </row>
    <row r="24" spans="1:9" ht="15" x14ac:dyDescent="0.25">
      <c r="A24" s="1" t="s">
        <v>47</v>
      </c>
      <c r="B24" s="2">
        <f>HYPERLINK("https://www.omim.org/entry/103320",103320)</f>
        <v>103320</v>
      </c>
      <c r="C24" s="3">
        <f>HYPERLINK("https://www.omim.org/entry/615120",615120)</f>
        <v>615120</v>
      </c>
      <c r="I24" s="6" t="s">
        <v>1516</v>
      </c>
    </row>
    <row r="25" spans="1:9" ht="15" x14ac:dyDescent="0.25">
      <c r="A25" s="1" t="s">
        <v>49</v>
      </c>
      <c r="B25" s="2">
        <f>HYPERLINK("https://www.omim.org/entry/604285",604285)</f>
        <v>604285</v>
      </c>
      <c r="C25" s="3">
        <f>HYPERLINK("https://www.omim.org/entry/259900",259900)</f>
        <v>259900</v>
      </c>
      <c r="I25" s="6" t="s">
        <v>1517</v>
      </c>
    </row>
    <row r="26" spans="1:9" ht="15" x14ac:dyDescent="0.25">
      <c r="A26" s="1" t="s">
        <v>51</v>
      </c>
      <c r="B26" s="2">
        <f>HYPERLINK("https://www.omim.org/entry/180960",180960)</f>
        <v>180960</v>
      </c>
      <c r="C26" s="3">
        <f>HYPERLINK("https://www.omim.org/entry/613752",613752)</f>
        <v>613752</v>
      </c>
      <c r="I26" s="6" t="s">
        <v>1518</v>
      </c>
    </row>
    <row r="27" spans="1:9" ht="15" x14ac:dyDescent="0.25">
      <c r="A27" s="1" t="s">
        <v>53</v>
      </c>
      <c r="B27" s="2">
        <f>HYPERLINK("https://www.omim.org/entry/605257",605257)</f>
        <v>605257</v>
      </c>
      <c r="C27" s="3">
        <f>HYPERLINK("https://www.omim.org/entry/605258",605258)</f>
        <v>605258</v>
      </c>
      <c r="I27" s="6" t="s">
        <v>1519</v>
      </c>
    </row>
    <row r="28" spans="1:9" ht="15" x14ac:dyDescent="0.25">
      <c r="A28" s="1" t="s">
        <v>55</v>
      </c>
      <c r="B28" s="2">
        <f>HYPERLINK("https://www.omim.org/entry/607358",607358)</f>
        <v>607358</v>
      </c>
      <c r="C28" s="3">
        <f>HYPERLINK("https://www.omim.org/entry/240300",240300)</f>
        <v>240300</v>
      </c>
      <c r="I28" s="6" t="s">
        <v>1520</v>
      </c>
    </row>
    <row r="29" spans="1:9" ht="15" x14ac:dyDescent="0.25">
      <c r="A29" s="1" t="s">
        <v>57</v>
      </c>
      <c r="B29" s="2">
        <f>HYPERLINK("https://www.omim.org/entry/103020",103020)</f>
        <v>103020</v>
      </c>
      <c r="C29" s="3">
        <f>HYPERLINK("https://www.omim.org/entry/267500",267500)</f>
        <v>267500</v>
      </c>
      <c r="I29" s="6" t="s">
        <v>1521</v>
      </c>
    </row>
    <row r="30" spans="1:9" ht="15" x14ac:dyDescent="0.25">
      <c r="A30" s="1" t="s">
        <v>59</v>
      </c>
      <c r="B30" s="2">
        <f>HYPERLINK("https://www.omim.org/entry/604001",604001)</f>
        <v>604001</v>
      </c>
      <c r="C30" s="3">
        <f>HYPERLINK("https://www.omim.org/entry/611820",611820)</f>
        <v>611820</v>
      </c>
      <c r="I30" s="6" t="s">
        <v>1522</v>
      </c>
    </row>
    <row r="31" spans="1:9" ht="15" x14ac:dyDescent="0.25">
      <c r="A31" s="1" t="s">
        <v>61</v>
      </c>
      <c r="B31" s="2">
        <f>HYPERLINK("https://www.omim.org/entry/604741",604741)</f>
        <v>604741</v>
      </c>
      <c r="C31" s="3">
        <f>HYPERLINK("https://www.omim.org/entry/235555",235555)</f>
        <v>235555</v>
      </c>
      <c r="I31" s="6" t="s">
        <v>1523</v>
      </c>
    </row>
    <row r="32" spans="1:9" ht="15" x14ac:dyDescent="0.25">
      <c r="A32" s="1" t="s">
        <v>63</v>
      </c>
      <c r="B32" s="2">
        <f>HYPERLINK("https://www.omim.org/entry/164731",164731)</f>
        <v>164731</v>
      </c>
      <c r="C32" s="3">
        <f>HYPERLINK("https://www.omim.org/entry/240900",240900)</f>
        <v>240900</v>
      </c>
      <c r="I32" s="6" t="s">
        <v>1524</v>
      </c>
    </row>
    <row r="33" spans="1:9" ht="15" x14ac:dyDescent="0.25">
      <c r="A33" s="1" t="s">
        <v>65</v>
      </c>
      <c r="B33" s="2">
        <f>HYPERLINK("https://www.omim.org/entry/125270",125270)</f>
        <v>125270</v>
      </c>
      <c r="C33" s="3">
        <f>HYPERLINK("https://www.omim.org/entry/612740",612740)</f>
        <v>612740</v>
      </c>
      <c r="I33" s="6" t="s">
        <v>1525</v>
      </c>
    </row>
    <row r="34" spans="1:9" ht="15" x14ac:dyDescent="0.25">
      <c r="A34" s="1" t="s">
        <v>67</v>
      </c>
      <c r="B34" s="2">
        <f>HYPERLINK("https://www.omim.org/entry/301300",301300)</f>
        <v>301300</v>
      </c>
      <c r="C34" s="3">
        <f>HYPERLINK("https://www.omim.org/entry/300751",300751)</f>
        <v>300751</v>
      </c>
      <c r="D34" s="15">
        <f>HYPERLINK("https://www.omim.org/entry/300752",300752)</f>
        <v>300752</v>
      </c>
      <c r="I34" s="6" t="s">
        <v>1526</v>
      </c>
    </row>
    <row r="35" spans="1:9" ht="15" x14ac:dyDescent="0.25">
      <c r="A35" s="1" t="s">
        <v>69</v>
      </c>
      <c r="B35" s="2">
        <f>HYPERLINK("https://www.omim.org/entry/606811",606811)</f>
        <v>606811</v>
      </c>
      <c r="C35" s="3">
        <f>HYPERLINK("https://www.omim.org/entry/239510",239510)</f>
        <v>239510</v>
      </c>
      <c r="I35" s="6" t="s">
        <v>1527</v>
      </c>
    </row>
    <row r="36" spans="1:9" ht="15" x14ac:dyDescent="0.25">
      <c r="A36" s="1" t="s">
        <v>71</v>
      </c>
      <c r="B36" s="2">
        <f>HYPERLINK("https://www.omim.org/entry/610045",610045)</f>
        <v>610045</v>
      </c>
      <c r="C36" s="3">
        <f>HYPERLINK("https://www.omim.org/entry/271980",271980)</f>
        <v>271980</v>
      </c>
      <c r="I36" s="6" t="s">
        <v>1528</v>
      </c>
    </row>
    <row r="37" spans="1:9" ht="15" x14ac:dyDescent="0.25">
      <c r="A37" s="1" t="s">
        <v>73</v>
      </c>
      <c r="B37" s="2">
        <f>HYPERLINK("https://www.omim.org/entry/603178",603178)</f>
        <v>603178</v>
      </c>
      <c r="C37" s="3">
        <f>HYPERLINK("https://www.omim.org/entry/614105",614105)</f>
        <v>614105</v>
      </c>
      <c r="I37" s="6" t="s">
        <v>1529</v>
      </c>
    </row>
    <row r="38" spans="1:9" ht="15" x14ac:dyDescent="0.25">
      <c r="A38" s="1" t="s">
        <v>75</v>
      </c>
      <c r="B38" s="2">
        <f>HYPERLINK("https://www.omim.org/entry/107323",107323)</f>
        <v>107323</v>
      </c>
      <c r="C38" s="3">
        <f>HYPERLINK("https://www.omim.org/entry/266100",266100)</f>
        <v>266100</v>
      </c>
      <c r="I38" s="6" t="s">
        <v>1530</v>
      </c>
    </row>
    <row r="39" spans="1:9" ht="15" x14ac:dyDescent="0.25">
      <c r="A39" s="1" t="s">
        <v>77</v>
      </c>
      <c r="B39" s="2">
        <f>HYPERLINK("https://www.omim.org/entry/612724",612724)</f>
        <v>612724</v>
      </c>
      <c r="C39" s="3">
        <f>HYPERLINK("https://www.omim.org/entry/229600",229600)</f>
        <v>229600</v>
      </c>
      <c r="I39" s="6" t="s">
        <v>1531</v>
      </c>
    </row>
    <row r="40" spans="1:9" ht="15" x14ac:dyDescent="0.25">
      <c r="A40" s="1" t="s">
        <v>79</v>
      </c>
      <c r="B40" s="2">
        <f>HYPERLINK("https://www.omim.org/entry/612866",612866)</f>
        <v>612866</v>
      </c>
      <c r="C40" s="3">
        <f>HYPERLINK("https://www.omim.org/entry/619036",619036)</f>
        <v>619036</v>
      </c>
      <c r="I40" s="6" t="s">
        <v>1532</v>
      </c>
    </row>
    <row r="41" spans="1:9" ht="15" x14ac:dyDescent="0.25">
      <c r="A41" s="1" t="s">
        <v>81</v>
      </c>
      <c r="B41" s="2">
        <f>HYPERLINK("https://www.omim.org/entry/607905",607905)</f>
        <v>607905</v>
      </c>
      <c r="C41" s="3">
        <f>HYPERLINK("https://www.omim.org/entry/607906",607906)</f>
        <v>607906</v>
      </c>
      <c r="D41" s="15">
        <f>HYPERLINK("https://www.omim.org/entry/616228",616228)</f>
        <v>616228</v>
      </c>
      <c r="I41" s="6" t="s">
        <v>1533</v>
      </c>
    </row>
    <row r="42" spans="1:9" ht="15" x14ac:dyDescent="0.25">
      <c r="A42" s="1" t="s">
        <v>82</v>
      </c>
      <c r="B42" s="2">
        <f>HYPERLINK("https://www.omim.org/entry/171760",171760)</f>
        <v>171760</v>
      </c>
      <c r="C42" s="3">
        <f>HYPERLINK("https://www.omim.org/entry/241500",241500)</f>
        <v>241500</v>
      </c>
      <c r="D42" s="15">
        <f>HYPERLINK("https://www.omim.org/entry/241510",241510)</f>
        <v>241510</v>
      </c>
      <c r="I42" s="6" t="s">
        <v>1534</v>
      </c>
    </row>
    <row r="43" spans="1:9" ht="15" x14ac:dyDescent="0.25">
      <c r="A43" s="1" t="s">
        <v>84</v>
      </c>
      <c r="B43" s="2">
        <f>HYPERLINK("https://www.omim.org/entry/604489",604489)</f>
        <v>604489</v>
      </c>
      <c r="C43" s="3">
        <f>HYPERLINK("https://www.omim.org/entry/214950",214950)</f>
        <v>214950</v>
      </c>
      <c r="I43" s="6" t="s">
        <v>1535</v>
      </c>
    </row>
    <row r="44" spans="1:9" ht="15" x14ac:dyDescent="0.25">
      <c r="A44" s="1" t="s">
        <v>86</v>
      </c>
      <c r="B44" s="2">
        <f>HYPERLINK("https://www.omim.org/entry/605799",605799)</f>
        <v>605799</v>
      </c>
      <c r="C44" s="3">
        <f>HYPERLINK("https://www.omim.org/entry/618882",618882)</f>
        <v>618882</v>
      </c>
      <c r="I44" s="6" t="s">
        <v>1536</v>
      </c>
    </row>
    <row r="45" spans="1:9" ht="15" x14ac:dyDescent="0.25">
      <c r="A45" s="1" t="s">
        <v>88</v>
      </c>
      <c r="B45" s="2">
        <f>HYPERLINK("https://www.omim.org/entry/106410",106410)</f>
        <v>106410</v>
      </c>
      <c r="C45" s="3">
        <f>HYPERLINK("https://www.omim.org/entry/600919",600919)</f>
        <v>600919</v>
      </c>
      <c r="I45" s="6" t="s">
        <v>1537</v>
      </c>
    </row>
    <row r="46" spans="1:9" ht="15" x14ac:dyDescent="0.25">
      <c r="A46" s="1" t="s">
        <v>90</v>
      </c>
      <c r="B46" s="2">
        <f>HYPERLINK("https://www.omim.org/entry/603531",603531)</f>
        <v>603531</v>
      </c>
      <c r="C46" s="3">
        <f>HYPERLINK("https://www.omim.org/entry/609313",609313)</f>
        <v>609313</v>
      </c>
      <c r="I46" s="6" t="s">
        <v>1538</v>
      </c>
    </row>
    <row r="47" spans="1:9" ht="15" x14ac:dyDescent="0.25">
      <c r="A47" s="1" t="s">
        <v>92</v>
      </c>
      <c r="B47" s="2">
        <f>HYPERLINK("https://www.omim.org/entry/603401",603401)</f>
        <v>603401</v>
      </c>
      <c r="C47" s="3">
        <f>HYPERLINK("https://www.omim.org/entry/608233",608233)</f>
        <v>608233</v>
      </c>
      <c r="I47" s="6" t="s">
        <v>1539</v>
      </c>
    </row>
    <row r="48" spans="1:9" ht="15" x14ac:dyDescent="0.25">
      <c r="A48" s="1" t="s">
        <v>94</v>
      </c>
      <c r="B48" s="2">
        <f>HYPERLINK("https://www.omim.org/entry/607246",607246)</f>
        <v>607246</v>
      </c>
      <c r="C48" s="3">
        <f>HYPERLINK("https://www.omim.org/entry/617050",617050)</f>
        <v>617050</v>
      </c>
      <c r="I48" s="6" t="s">
        <v>1540</v>
      </c>
    </row>
    <row r="49" spans="1:9" ht="15" x14ac:dyDescent="0.25">
      <c r="A49" s="1" t="s">
        <v>96</v>
      </c>
      <c r="B49" s="2">
        <f>HYPERLINK("https://www.omim.org/entry/606368",606368)</f>
        <v>606368</v>
      </c>
      <c r="C49" s="3">
        <f>HYPERLINK("https://www.omim.org/entry/145750",145750)</f>
        <v>145750</v>
      </c>
      <c r="I49" s="6" t="s">
        <v>1541</v>
      </c>
    </row>
    <row r="50" spans="1:9" ht="15" x14ac:dyDescent="0.25">
      <c r="A50" s="1" t="s">
        <v>98</v>
      </c>
      <c r="B50" s="2">
        <f>HYPERLINK("https://www.omim.org/entry/107730",107730)</f>
        <v>107730</v>
      </c>
      <c r="C50" s="3">
        <f>HYPERLINK("https://www.omim.org/entry/144010",144010)</f>
        <v>144010</v>
      </c>
      <c r="I50" s="6" t="s">
        <v>1542</v>
      </c>
    </row>
    <row r="51" spans="1:9" ht="15" x14ac:dyDescent="0.25">
      <c r="A51" s="1" t="s">
        <v>100</v>
      </c>
      <c r="B51" s="2">
        <f>HYPERLINK("https://www.omim.org/entry/608083",608083)</f>
        <v>608083</v>
      </c>
      <c r="C51" s="3">
        <f>HYPERLINK("https://www.omim.org/entry/207750",207750)</f>
        <v>207750</v>
      </c>
      <c r="I51" s="6" t="s">
        <v>1543</v>
      </c>
    </row>
    <row r="52" spans="1:9" ht="15" x14ac:dyDescent="0.25">
      <c r="A52" s="1" t="s">
        <v>102</v>
      </c>
      <c r="B52" s="2">
        <f>HYPERLINK("https://www.omim.org/entry/102600",102600)</f>
        <v>102600</v>
      </c>
      <c r="C52" s="3">
        <f>HYPERLINK("https://www.omim.org/entry/614723",614723)</f>
        <v>614723</v>
      </c>
      <c r="I52" s="6" t="s">
        <v>1544</v>
      </c>
    </row>
    <row r="53" spans="1:9" ht="15" x14ac:dyDescent="0.25">
      <c r="A53" s="1" t="s">
        <v>104</v>
      </c>
      <c r="B53" s="2">
        <f>HYPERLINK("https://www.omim.org/entry/107777",107777)</f>
        <v>107777</v>
      </c>
      <c r="C53" s="3">
        <f>HYPERLINK("https://www.omim.org/entry/125800",125800)</f>
        <v>125800</v>
      </c>
      <c r="I53" s="6" t="s">
        <v>1545</v>
      </c>
    </row>
    <row r="54" spans="1:9" ht="15" x14ac:dyDescent="0.25">
      <c r="A54" s="1" t="s">
        <v>106</v>
      </c>
      <c r="B54" s="2">
        <f>HYPERLINK("https://www.omim.org/entry/608313",608313)</f>
        <v>608313</v>
      </c>
      <c r="C54" s="3">
        <f>HYPERLINK("https://www.omim.org/entry/207800",207800)</f>
        <v>207800</v>
      </c>
      <c r="I54" s="6" t="s">
        <v>107</v>
      </c>
    </row>
    <row r="55" spans="1:9" ht="15" x14ac:dyDescent="0.25">
      <c r="A55" s="1" t="s">
        <v>108</v>
      </c>
      <c r="B55" s="2">
        <f>HYPERLINK("https://www.omim.org/entry/601855",601855)</f>
        <v>601855</v>
      </c>
      <c r="C55" s="3">
        <f>HYPERLINK("https://www.omim.org/entry/618459",618459)</f>
        <v>618459</v>
      </c>
      <c r="I55" s="6" t="s">
        <v>1546</v>
      </c>
    </row>
    <row r="56" spans="1:9" ht="15" x14ac:dyDescent="0.25">
      <c r="A56" s="1" t="s">
        <v>110</v>
      </c>
      <c r="B56" s="2">
        <f>HYPERLINK("https://www.omim.org/entry/604223",604223)</f>
        <v>604223</v>
      </c>
      <c r="C56" s="3">
        <f>HYPERLINK("https://www.omim.org/entry/617718",617718)</f>
        <v>617718</v>
      </c>
      <c r="I56" s="6" t="s">
        <v>1547</v>
      </c>
    </row>
    <row r="57" spans="1:9" ht="15" x14ac:dyDescent="0.25">
      <c r="A57" s="1" t="s">
        <v>112</v>
      </c>
      <c r="B57" s="2">
        <f>HYPERLINK("https://www.omim.org/entry/607574",607574)</f>
        <v>607574</v>
      </c>
      <c r="C57" s="3">
        <f>HYPERLINK("https://www.omim.org/entry/250100",250100)</f>
        <v>250100</v>
      </c>
      <c r="I57" s="6" t="s">
        <v>1548</v>
      </c>
    </row>
    <row r="58" spans="1:9" ht="15" x14ac:dyDescent="0.25">
      <c r="A58" s="1" t="s">
        <v>114</v>
      </c>
      <c r="B58" s="2">
        <f>HYPERLINK("https://www.omim.org/entry/611542",611542)</f>
        <v>611542</v>
      </c>
      <c r="C58" s="3">
        <f>HYPERLINK("https://www.omim.org/entry/253200",253200)</f>
        <v>253200</v>
      </c>
      <c r="I58" s="6" t="s">
        <v>1549</v>
      </c>
    </row>
    <row r="59" spans="1:9" ht="15" x14ac:dyDescent="0.25">
      <c r="A59" s="1" t="s">
        <v>116</v>
      </c>
      <c r="B59" s="2">
        <f>HYPERLINK("https://www.omim.org/entry/608310",608310)</f>
        <v>608310</v>
      </c>
      <c r="C59" s="3">
        <f>HYPERLINK("https://www.omim.org/entry/207900",207900)</f>
        <v>207900</v>
      </c>
      <c r="I59" s="6" t="s">
        <v>1550</v>
      </c>
    </row>
    <row r="60" spans="1:9" ht="15" x14ac:dyDescent="0.25">
      <c r="A60" s="1" t="s">
        <v>118</v>
      </c>
      <c r="B60" s="2">
        <f>HYPERLINK("https://www.omim.org/entry/603470",603470)</f>
        <v>603470</v>
      </c>
      <c r="C60" s="3">
        <f>HYPERLINK("https://www.omim.org/entry/215700",215700)</f>
        <v>215700</v>
      </c>
      <c r="I60" s="6" t="s">
        <v>1551</v>
      </c>
    </row>
    <row r="61" spans="1:9" ht="15" x14ac:dyDescent="0.25">
      <c r="A61" s="1" t="s">
        <v>120</v>
      </c>
      <c r="B61" s="2">
        <f>HYPERLINK("https://www.omim.org/entry/605239",605239)</f>
        <v>605239</v>
      </c>
      <c r="C61" s="3">
        <f>HYPERLINK("https://www.omim.org/entry/602722",602722)</f>
        <v>602722</v>
      </c>
      <c r="I61" s="6" t="s">
        <v>1552</v>
      </c>
    </row>
    <row r="62" spans="1:9" ht="15" x14ac:dyDescent="0.25">
      <c r="A62" s="1" t="s">
        <v>122</v>
      </c>
      <c r="B62" s="2">
        <f>HYPERLINK("https://www.omim.org/entry/192132",192132)</f>
        <v>192132</v>
      </c>
      <c r="C62" s="3">
        <f>HYPERLINK("https://www.omim.org/entry/267300",267300)</f>
        <v>267300</v>
      </c>
      <c r="I62" s="6" t="s">
        <v>1553</v>
      </c>
    </row>
    <row r="63" spans="1:9" ht="15" x14ac:dyDescent="0.25">
      <c r="A63" s="1" t="s">
        <v>124</v>
      </c>
      <c r="B63" s="2">
        <f>HYPERLINK("https://www.omim.org/entry/300011",300011)</f>
        <v>300011</v>
      </c>
      <c r="C63" s="3">
        <f>HYPERLINK("https://www.omim.org/entry/309400",309400)</f>
        <v>309400</v>
      </c>
      <c r="I63" s="6" t="s">
        <v>1554</v>
      </c>
    </row>
    <row r="64" spans="1:9" ht="15" x14ac:dyDescent="0.25">
      <c r="A64" s="1" t="s">
        <v>126</v>
      </c>
      <c r="B64" s="2">
        <f>HYPERLINK("https://www.omim.org/entry/606882",606882)</f>
        <v>606882</v>
      </c>
      <c r="C64" s="3">
        <f>HYPERLINK("https://www.omim.org/entry/277900",277900)</f>
        <v>277900</v>
      </c>
      <c r="I64" s="6" t="s">
        <v>1555</v>
      </c>
    </row>
    <row r="65" spans="1:9" ht="15" x14ac:dyDescent="0.25">
      <c r="A65" s="1" t="s">
        <v>128</v>
      </c>
      <c r="B65" s="2">
        <f>HYPERLINK("https://www.omim.org/entry/602397",602397)</f>
        <v>602397</v>
      </c>
      <c r="C65" s="3">
        <f>HYPERLINK("https://www.omim.org/entry/211600",211600)</f>
        <v>211600</v>
      </c>
      <c r="D65" s="15">
        <f>HYPERLINK("https://www.omim.org/entry/147480",147480)</f>
        <v>147480</v>
      </c>
      <c r="E65" s="15">
        <f>HYPERLINK("https://www.omim.org/entry/243300",243300)</f>
        <v>243300</v>
      </c>
      <c r="I65" s="6" t="s">
        <v>1556</v>
      </c>
    </row>
    <row r="66" spans="1:9" ht="15" x14ac:dyDescent="0.25">
      <c r="A66" s="1" t="s">
        <v>130</v>
      </c>
      <c r="B66" s="2">
        <f>HYPERLINK("https://www.omim.org/entry/600529",600529)</f>
        <v>600529</v>
      </c>
      <c r="C66" s="3">
        <f>HYPERLINK("https://www.omim.org/entry/250950",250950)</f>
        <v>250950</v>
      </c>
      <c r="I66" s="6" t="s">
        <v>1557</v>
      </c>
    </row>
    <row r="67" spans="1:9" ht="15" x14ac:dyDescent="0.25">
      <c r="A67" s="1" t="s">
        <v>132</v>
      </c>
      <c r="B67" s="2">
        <f>HYPERLINK("https://www.omim.org/entry/192340",192340)</f>
        <v>192340</v>
      </c>
      <c r="C67" s="3">
        <f>HYPERLINK("https://www.omim.org/entry/125700",125700)</f>
        <v>125700</v>
      </c>
      <c r="I67" s="6" t="s">
        <v>1558</v>
      </c>
    </row>
    <row r="68" spans="1:9" ht="15" x14ac:dyDescent="0.25">
      <c r="A68" s="1" t="s">
        <v>134</v>
      </c>
      <c r="B68" s="2">
        <f>HYPERLINK("https://www.omim.org/entry/300538",300538)</f>
        <v>300538</v>
      </c>
      <c r="C68" s="3">
        <f>HYPERLINK("https://www.omim.org/entry/304800",304800)</f>
        <v>304800</v>
      </c>
      <c r="I68" s="6" t="s">
        <v>1559</v>
      </c>
    </row>
    <row r="69" spans="1:9" ht="15" x14ac:dyDescent="0.25">
      <c r="A69" s="1" t="s">
        <v>136</v>
      </c>
      <c r="B69" s="2">
        <f>HYPERLINK("https://www.omim.org/entry/602938",602938)</f>
        <v>602938</v>
      </c>
      <c r="C69" s="3">
        <f>HYPERLINK("https://www.omim.org/entry/619232",619232)</f>
        <v>619232</v>
      </c>
      <c r="I69" s="6" t="s">
        <v>1560</v>
      </c>
    </row>
    <row r="70" spans="1:9" ht="15" x14ac:dyDescent="0.25">
      <c r="A70" s="1" t="s">
        <v>138</v>
      </c>
      <c r="B70" s="2">
        <f>HYPERLINK("https://www.omim.org/entry/605394",605394)</f>
        <v>605394</v>
      </c>
      <c r="C70" s="3">
        <f>HYPERLINK("https://www.omim.org/entry/618394",618394)</f>
        <v>618394</v>
      </c>
      <c r="I70" s="6" t="s">
        <v>1561</v>
      </c>
    </row>
    <row r="71" spans="1:9" ht="15" x14ac:dyDescent="0.25">
      <c r="A71" s="1" t="s">
        <v>140</v>
      </c>
      <c r="B71" s="2">
        <f>HYPERLINK("https://www.omim.org/entry/603883",603883)</f>
        <v>603883</v>
      </c>
      <c r="C71" s="3">
        <f>HYPERLINK("https://www.omim.org/entry/621094",621094)</f>
        <v>621094</v>
      </c>
      <c r="D71" s="15">
        <f>HYPERLINK("https://www.omim.org/entry/613881",613881)</f>
        <v>613881</v>
      </c>
      <c r="E71" s="15">
        <f>HYPERLINK("https://www.omim.org/entry/621095",621095)</f>
        <v>621095</v>
      </c>
      <c r="I71" s="6" t="s">
        <v>1562</v>
      </c>
    </row>
    <row r="72" spans="1:9" ht="15" x14ac:dyDescent="0.25">
      <c r="A72" s="1" t="s">
        <v>142</v>
      </c>
      <c r="B72" s="2">
        <f>HYPERLINK("https://www.omim.org/entry/608348",608348)</f>
        <v>608348</v>
      </c>
      <c r="C72" s="3">
        <f>HYPERLINK("https://www.omim.org/entry/248600",248600)</f>
        <v>248600</v>
      </c>
      <c r="I72" s="6" t="s">
        <v>1563</v>
      </c>
    </row>
    <row r="73" spans="1:9" ht="15" x14ac:dyDescent="0.25">
      <c r="A73" s="1" t="s">
        <v>144</v>
      </c>
      <c r="B73" s="2">
        <f>HYPERLINK("https://www.omim.org/entry/248611",248611)</f>
        <v>248611</v>
      </c>
      <c r="C73" s="3">
        <f>HYPERLINK("https://www.omim.org/entry/620698",620698)</f>
        <v>620698</v>
      </c>
      <c r="I73" s="6" t="s">
        <v>1564</v>
      </c>
    </row>
    <row r="74" spans="1:9" ht="15" x14ac:dyDescent="0.25">
      <c r="A74" s="1" t="s">
        <v>146</v>
      </c>
      <c r="B74" s="2">
        <f>HYPERLINK("https://www.omim.org/entry/614901",614901)</f>
        <v>614901</v>
      </c>
      <c r="C74" s="3">
        <f>HYPERLINK("https://www.omim.org/entry/614923",614923)</f>
        <v>614923</v>
      </c>
      <c r="I74" s="6" t="s">
        <v>1565</v>
      </c>
    </row>
    <row r="75" spans="1:9" ht="15" x14ac:dyDescent="0.25">
      <c r="A75" s="1" t="s">
        <v>148</v>
      </c>
      <c r="B75" s="2">
        <f>HYPERLINK("https://www.omim.org/entry/603517",603517)</f>
        <v>603517</v>
      </c>
      <c r="C75" s="3">
        <f>HYPERLINK("https://www.omim.org/entry/616098",616098)</f>
        <v>616098</v>
      </c>
      <c r="I75" s="6" t="s">
        <v>1566</v>
      </c>
    </row>
    <row r="76" spans="1:9" ht="15" x14ac:dyDescent="0.25">
      <c r="A76" s="17" t="s">
        <v>150</v>
      </c>
      <c r="B76" s="2">
        <f>HYPERLINK("https://www.omim.org/entry/606558",606558)</f>
        <v>606558</v>
      </c>
      <c r="C76" s="3">
        <f>HYPERLINK("https://www.omim.org/entry/618092",618092)</f>
        <v>618092</v>
      </c>
      <c r="I76" s="6" t="s">
        <v>1567</v>
      </c>
    </row>
    <row r="77" spans="1:9" ht="15" x14ac:dyDescent="0.25">
      <c r="A77" s="1" t="s">
        <v>152</v>
      </c>
      <c r="B77" s="2">
        <f>HYPERLINK("https://www.omim.org/entry/604515",604515)</f>
        <v>604515</v>
      </c>
      <c r="C77" s="3">
        <f>HYPERLINK("https://www.omim.org/entry/613502",613502)</f>
        <v>613502</v>
      </c>
      <c r="I77" s="6" t="s">
        <v>153</v>
      </c>
    </row>
    <row r="78" spans="1:9" ht="15" x14ac:dyDescent="0.25">
      <c r="A78" s="1" t="s">
        <v>154</v>
      </c>
      <c r="B78" s="2">
        <f>HYPERLINK("https://www.omim.org/entry/164757",164757)</f>
        <v>164757</v>
      </c>
      <c r="C78" s="3">
        <f>HYPERLINK("https://www.omim.org/entry/613707",613707)</f>
        <v>613707</v>
      </c>
      <c r="D78" s="15">
        <f>HYPERLINK("https://www.omim.org/entry/115150",115150)</f>
        <v>115150</v>
      </c>
      <c r="E78" s="15">
        <f>HYPERLINK("https://www.omim.org/entry/613706",613706)</f>
        <v>613706</v>
      </c>
      <c r="I78" s="6" t="s">
        <v>1568</v>
      </c>
    </row>
    <row r="79" spans="1:9" ht="15" x14ac:dyDescent="0.25">
      <c r="A79" s="1" t="s">
        <v>156</v>
      </c>
      <c r="B79" s="2">
        <f>HYPERLINK("https://www.omim.org/entry/606158",606158)</f>
        <v>606158</v>
      </c>
      <c r="C79" s="3">
        <f>HYPERLINK("https://www.omim.org/entry/269700",269700)</f>
        <v>269700</v>
      </c>
      <c r="I79" s="6" t="s">
        <v>1569</v>
      </c>
    </row>
    <row r="80" spans="1:9" ht="15" x14ac:dyDescent="0.25">
      <c r="A80" s="1" t="s">
        <v>158</v>
      </c>
      <c r="B80" s="2">
        <f>HYPERLINK("https://www.omim.org/entry/606412",606412)</f>
        <v>606412</v>
      </c>
      <c r="C80" s="3">
        <f>HYPERLINK("https://www.omim.org/entry/602522",602522)</f>
        <v>602522</v>
      </c>
      <c r="I80" s="6" t="s">
        <v>1570</v>
      </c>
    </row>
    <row r="81" spans="1:9" ht="15" x14ac:dyDescent="0.25">
      <c r="A81" s="1" t="s">
        <v>160</v>
      </c>
      <c r="B81" s="2">
        <f>HYPERLINK("https://www.omim.org/entry/609019",609019)</f>
        <v>609019</v>
      </c>
      <c r="C81" s="3">
        <f>HYPERLINK("https://www.omim.org/entry/253260",253260)</f>
        <v>253260</v>
      </c>
      <c r="I81" s="6" t="s">
        <v>1571</v>
      </c>
    </row>
    <row r="82" spans="1:9" ht="15" x14ac:dyDescent="0.25">
      <c r="A82" s="1" t="s">
        <v>162</v>
      </c>
      <c r="B82" s="2">
        <f>HYPERLINK("https://www.omim.org/entry/300300",300300)</f>
        <v>300300</v>
      </c>
      <c r="C82" s="3">
        <f>HYPERLINK("https://www.omim.org/entry/300755",300755)</f>
        <v>300755</v>
      </c>
      <c r="D82" s="15">
        <f>HYPERLINK("https://www.omim.org/entry/307200",307200)</f>
        <v>307200</v>
      </c>
      <c r="I82" s="6" t="s">
        <v>1572</v>
      </c>
    </row>
    <row r="83" spans="1:9" ht="15" x14ac:dyDescent="0.25">
      <c r="A83" s="1" t="s">
        <v>164</v>
      </c>
      <c r="B83" s="2">
        <f>HYPERLINK("https://www.omim.org/entry/120550",120550)</f>
        <v>120550</v>
      </c>
      <c r="C83" s="3">
        <f>HYPERLINK("https://www.omim.org/entry/613652",613652)</f>
        <v>613652</v>
      </c>
      <c r="I83" s="6" t="s">
        <v>1573</v>
      </c>
    </row>
    <row r="84" spans="1:9" ht="15" x14ac:dyDescent="0.25">
      <c r="A84" s="1" t="s">
        <v>166</v>
      </c>
      <c r="B84" s="2">
        <f>HYPERLINK("https://www.omim.org/entry/120570",120570)</f>
        <v>120570</v>
      </c>
      <c r="C84" s="3">
        <f>HYPERLINK("https://www.omim.org/entry/620321",620321)</f>
        <v>620321</v>
      </c>
      <c r="I84" s="6" t="s">
        <v>1574</v>
      </c>
    </row>
    <row r="85" spans="1:9" ht="15" x14ac:dyDescent="0.25">
      <c r="A85" s="1" t="s">
        <v>168</v>
      </c>
      <c r="B85" s="2">
        <f>HYPERLINK("https://www.omim.org/entry/120575",120575)</f>
        <v>120575</v>
      </c>
      <c r="C85" s="3">
        <f>HYPERLINK("https://www.omim.org/entry/620322",620322)</f>
        <v>620322</v>
      </c>
      <c r="I85" s="6" t="s">
        <v>1575</v>
      </c>
    </row>
    <row r="86" spans="1:9" ht="15" x14ac:dyDescent="0.25">
      <c r="A86" s="1" t="s">
        <v>170</v>
      </c>
      <c r="B86" s="2">
        <f>HYPERLINK("https://www.omim.org/entry/613927",613927)</f>
        <v>613927</v>
      </c>
      <c r="C86" s="3">
        <f>HYPERLINK("https://www.omim.org/entry/217000",217000)</f>
        <v>217000</v>
      </c>
      <c r="I86" s="6" t="s">
        <v>1576</v>
      </c>
    </row>
    <row r="87" spans="1:9" ht="15" x14ac:dyDescent="0.25">
      <c r="A87" s="1" t="s">
        <v>172</v>
      </c>
      <c r="B87" s="2">
        <f>HYPERLINK("https://www.omim.org/entry/120700",120700)</f>
        <v>120700</v>
      </c>
      <c r="C87" s="3">
        <f>HYPERLINK("https://www.omim.org/entry/613779",613779)</f>
        <v>613779</v>
      </c>
      <c r="I87" s="6" t="s">
        <v>1577</v>
      </c>
    </row>
    <row r="88" spans="1:9" ht="15" x14ac:dyDescent="0.25">
      <c r="A88" s="1" t="s">
        <v>174</v>
      </c>
      <c r="B88" s="2">
        <f>HYPERLINK("https://www.omim.org/entry/120900",120900)</f>
        <v>120900</v>
      </c>
      <c r="C88" s="3">
        <f>HYPERLINK("https://www.omim.org/entry/609536",609536)</f>
        <v>609536</v>
      </c>
      <c r="I88" s="6" t="s">
        <v>1578</v>
      </c>
    </row>
    <row r="89" spans="1:9" ht="15" x14ac:dyDescent="0.25">
      <c r="A89" s="1" t="s">
        <v>176</v>
      </c>
      <c r="B89" s="2">
        <f>HYPERLINK("https://www.omim.org/entry/217050",217050)</f>
        <v>217050</v>
      </c>
      <c r="C89" s="3">
        <f>HYPERLINK("https://www.omim.org/entry/612446",612446)</f>
        <v>612446</v>
      </c>
      <c r="I89" s="6" t="s">
        <v>1579</v>
      </c>
    </row>
    <row r="90" spans="1:9" ht="15" x14ac:dyDescent="0.25">
      <c r="A90" s="1" t="s">
        <v>178</v>
      </c>
      <c r="B90" s="2">
        <f>HYPERLINK("https://www.omim.org/entry/217070",217070)</f>
        <v>217070</v>
      </c>
      <c r="C90" s="3">
        <f>HYPERLINK("https://www.omim.org/entry/610102",610102)</f>
        <v>610102</v>
      </c>
      <c r="I90" s="6" t="s">
        <v>1580</v>
      </c>
    </row>
    <row r="91" spans="1:9" ht="15" x14ac:dyDescent="0.25">
      <c r="A91" s="1" t="s">
        <v>180</v>
      </c>
      <c r="B91" s="2">
        <f>HYPERLINK("https://www.omim.org/entry/120950",120950)</f>
        <v>120950</v>
      </c>
      <c r="C91" s="3">
        <f>HYPERLINK("https://www.omim.org/entry/613790",613790)</f>
        <v>613790</v>
      </c>
      <c r="I91" s="6" t="s">
        <v>1581</v>
      </c>
    </row>
    <row r="92" spans="1:9" ht="15" x14ac:dyDescent="0.25">
      <c r="A92" s="1" t="s">
        <v>182</v>
      </c>
      <c r="B92" s="2">
        <f>HYPERLINK("https://www.omim.org/entry/120960",120960)</f>
        <v>120960</v>
      </c>
      <c r="C92" s="3">
        <f>HYPERLINK("https://www.omim.org/entry/613789",613789)</f>
        <v>613789</v>
      </c>
      <c r="I92" s="6" t="s">
        <v>1582</v>
      </c>
    </row>
    <row r="93" spans="1:9" ht="15" x14ac:dyDescent="0.25">
      <c r="A93" s="1" t="s">
        <v>184</v>
      </c>
      <c r="B93" s="2">
        <f>HYPERLINK("https://www.omim.org/entry/120940",120940)</f>
        <v>120940</v>
      </c>
      <c r="C93" s="3">
        <f>HYPERLINK("https://www.omim.org/entry/613825",613825)</f>
        <v>613825</v>
      </c>
      <c r="I93" s="6" t="s">
        <v>1583</v>
      </c>
    </row>
    <row r="94" spans="1:9" ht="15" x14ac:dyDescent="0.25">
      <c r="A94" s="1" t="s">
        <v>186</v>
      </c>
      <c r="B94" s="2">
        <f>HYPERLINK("https://www.omim.org/entry/611492",611492)</f>
        <v>611492</v>
      </c>
      <c r="C94" s="3">
        <f>HYPERLINK("https://www.omim.org/entry/259730",259730)</f>
        <v>259730</v>
      </c>
      <c r="I94" s="6" t="s">
        <v>1584</v>
      </c>
    </row>
    <row r="95" spans="1:9" ht="15" x14ac:dyDescent="0.25">
      <c r="A95" s="1" t="s">
        <v>188</v>
      </c>
      <c r="B95" s="2">
        <f>HYPERLINK("https://www.omim.org/entry/114761",114761)</f>
        <v>114761</v>
      </c>
      <c r="C95" s="3">
        <f>HYPERLINK("https://www.omim.org/entry/615751",615751)</f>
        <v>615751</v>
      </c>
      <c r="I95" s="6" t="s">
        <v>1585</v>
      </c>
    </row>
    <row r="96" spans="1:9" ht="15" x14ac:dyDescent="0.25">
      <c r="A96" s="1" t="s">
        <v>190</v>
      </c>
      <c r="B96" s="2">
        <f>HYPERLINK("https://www.omim.org/entry/607314",607314)</f>
        <v>607314</v>
      </c>
      <c r="C96" s="3">
        <f>HYPERLINK("https://www.omim.org/entry/614899",614899)</f>
        <v>614899</v>
      </c>
      <c r="I96" s="6" t="s">
        <v>1586</v>
      </c>
    </row>
    <row r="97" spans="1:9" ht="15" x14ac:dyDescent="0.25">
      <c r="A97" s="1" t="s">
        <v>192</v>
      </c>
      <c r="B97" s="2">
        <f>HYPERLINK("https://www.omim.org/entry/114205",114205)</f>
        <v>114205</v>
      </c>
      <c r="C97" s="3">
        <f>HYPERLINK("https://www.omim.org/entry/601005",601005)</f>
        <v>601005</v>
      </c>
      <c r="I97" s="6" t="s">
        <v>1587</v>
      </c>
    </row>
    <row r="98" spans="1:9" ht="15" x14ac:dyDescent="0.25">
      <c r="A98" s="1" t="s">
        <v>194</v>
      </c>
      <c r="B98" s="2">
        <f>HYPERLINK("https://www.omim.org/entry/600003",600003)</f>
        <v>600003</v>
      </c>
      <c r="C98" s="3">
        <f>HYPERLINK("https://www.omim.org/entry/611876",611876)</f>
        <v>611876</v>
      </c>
      <c r="I98" s="6" t="s">
        <v>1588</v>
      </c>
    </row>
    <row r="99" spans="1:9" ht="15" x14ac:dyDescent="0.25">
      <c r="A99" s="1" t="s">
        <v>196</v>
      </c>
      <c r="B99" s="2">
        <f>HYPERLINK("https://www.omim.org/entry/114010",114010)</f>
        <v>114010</v>
      </c>
      <c r="C99" s="3">
        <f>HYPERLINK("https://www.omim.org/entry/616457",616457)</f>
        <v>616457</v>
      </c>
      <c r="I99" s="6" t="s">
        <v>1589</v>
      </c>
    </row>
    <row r="100" spans="1:9" ht="15" x14ac:dyDescent="0.25">
      <c r="A100" s="1" t="s">
        <v>198</v>
      </c>
      <c r="B100" s="2">
        <f>HYPERLINK("https://www.omim.org/entry/114180",114180)</f>
        <v>114180</v>
      </c>
      <c r="C100" s="3">
        <f>HYPERLINK("https://www.omim.org/entry/614916",614916)</f>
        <v>614916</v>
      </c>
      <c r="I100" s="6" t="s">
        <v>1590</v>
      </c>
    </row>
    <row r="101" spans="1:9" ht="15" x14ac:dyDescent="0.25">
      <c r="A101" s="1" t="s">
        <v>200</v>
      </c>
      <c r="B101" s="2">
        <f>HYPERLINK("https://www.omim.org/entry/114182",114182)</f>
        <v>114182</v>
      </c>
      <c r="C101" s="3">
        <f>HYPERLINK("https://www.omim.org/entry/616249",616249)</f>
        <v>616249</v>
      </c>
      <c r="I101" s="6" t="s">
        <v>1591</v>
      </c>
    </row>
    <row r="102" spans="1:9" ht="15" x14ac:dyDescent="0.25">
      <c r="A102" s="1" t="s">
        <v>202</v>
      </c>
      <c r="B102" s="2">
        <f>HYPERLINK("https://www.omim.org/entry/114183",114183)</f>
        <v>114183</v>
      </c>
      <c r="C102" s="3">
        <f>HYPERLINK("https://www.omim.org/entry/618782",618782)</f>
        <v>618782</v>
      </c>
      <c r="I102" s="6" t="s">
        <v>2223</v>
      </c>
    </row>
    <row r="103" spans="1:9" ht="15" x14ac:dyDescent="0.25">
      <c r="A103" s="1" t="s">
        <v>204</v>
      </c>
      <c r="B103" s="2">
        <f>HYPERLINK("https://www.omim.org/entry/607210",607210)</f>
        <v>607210</v>
      </c>
      <c r="C103" s="3">
        <f>HYPERLINK("https://www.omim.org/entry/615206",615206)</f>
        <v>615206</v>
      </c>
      <c r="I103" s="6" t="s">
        <v>1592</v>
      </c>
    </row>
    <row r="104" spans="1:9" ht="15" x14ac:dyDescent="0.25">
      <c r="A104" s="1" t="s">
        <v>206</v>
      </c>
      <c r="B104" s="2">
        <f>HYPERLINK("https://www.omim.org/entry/607212",607212)</f>
        <v>607212</v>
      </c>
      <c r="C104" s="3">
        <f>HYPERLINK("https://www.omim.org/entry/212050",212050)</f>
        <v>212050</v>
      </c>
      <c r="I104" s="6" t="s">
        <v>1593</v>
      </c>
    </row>
    <row r="105" spans="1:9" ht="15" x14ac:dyDescent="0.25">
      <c r="A105" s="1" t="s">
        <v>208</v>
      </c>
      <c r="B105" s="2">
        <f>HYPERLINK("https://www.omim.org/entry/610859",610859)</f>
        <v>610859</v>
      </c>
      <c r="C105" s="3">
        <f>HYPERLINK("https://www.omim.org/entry/618131",618131)</f>
        <v>618131</v>
      </c>
      <c r="I105" s="6" t="s">
        <v>1594</v>
      </c>
    </row>
    <row r="106" spans="1:9" ht="15" x14ac:dyDescent="0.25">
      <c r="A106" s="1" t="s">
        <v>210</v>
      </c>
      <c r="B106" s="2">
        <f>HYPERLINK("https://www.omim.org/entry/601763",601763)</f>
        <v>601763</v>
      </c>
      <c r="C106" s="3">
        <f>HYPERLINK("https://www.omim.org/entry/607271",607271)</f>
        <v>607271</v>
      </c>
      <c r="I106" s="6" t="s">
        <v>1595</v>
      </c>
    </row>
    <row r="107" spans="1:9" ht="15" x14ac:dyDescent="0.25">
      <c r="A107" s="1" t="s">
        <v>212</v>
      </c>
      <c r="B107" s="2">
        <f>HYPERLINK("https://www.omim.org/entry/114251",114251)</f>
        <v>114251</v>
      </c>
      <c r="C107" s="3">
        <f>HYPERLINK("https://www.omim.org/entry/611938",611938)</f>
        <v>611938</v>
      </c>
      <c r="I107" s="6" t="s">
        <v>1596</v>
      </c>
    </row>
    <row r="108" spans="1:9" ht="15" x14ac:dyDescent="0.25">
      <c r="A108" s="1" t="s">
        <v>214</v>
      </c>
      <c r="B108" s="2">
        <f>HYPERLINK("https://www.omim.org/entry/601199",601199)</f>
        <v>601199</v>
      </c>
      <c r="C108" s="3">
        <f>HYPERLINK("https://www.omim.org/entry/601198",601198)</f>
        <v>601198</v>
      </c>
      <c r="D108" s="15">
        <f>HYPERLINK("https://www.omim.org/entry/239200",239200)</f>
        <v>239200</v>
      </c>
      <c r="I108" s="6" t="s">
        <v>1597</v>
      </c>
    </row>
    <row r="109" spans="1:9" ht="15" x14ac:dyDescent="0.25">
      <c r="A109" s="1" t="s">
        <v>216</v>
      </c>
      <c r="B109" s="2">
        <f>HYPERLINK("https://www.omim.org/entry/601047",601047)</f>
        <v>601047</v>
      </c>
      <c r="C109" s="3">
        <f>HYPERLINK("https://www.omim.org/entry/612526",612526)</f>
        <v>612526</v>
      </c>
      <c r="D109" s="15">
        <f>HYPERLINK("https://www.omim.org/entry/615343",615343)</f>
        <v>615343</v>
      </c>
      <c r="E109" s="15">
        <f>HYPERLINK("https://www.omim.org/entry/606721",606721)</f>
        <v>606721</v>
      </c>
      <c r="I109" s="6" t="s">
        <v>1598</v>
      </c>
    </row>
    <row r="110" spans="1:9" ht="15" x14ac:dyDescent="0.25">
      <c r="A110" s="1" t="s">
        <v>218</v>
      </c>
      <c r="B110" s="2">
        <f>HYPERLINK("https://www.omim.org/entry/601253",601253)</f>
        <v>601253</v>
      </c>
      <c r="C110" s="3">
        <f>HYPERLINK("https://www.omim.org/entry/611818",611818)</f>
        <v>611818</v>
      </c>
      <c r="I110" s="6" t="s">
        <v>1599</v>
      </c>
    </row>
    <row r="111" spans="1:9" ht="15" x14ac:dyDescent="0.25">
      <c r="A111" s="1" t="s">
        <v>220</v>
      </c>
      <c r="B111" s="2">
        <f>HYPERLINK("https://www.omim.org/entry/603198",603198)</f>
        <v>603198</v>
      </c>
      <c r="C111" s="3">
        <f>HYPERLINK("https://www.omim.org/entry/613327",613327)</f>
        <v>613327</v>
      </c>
      <c r="I111" s="6" t="s">
        <v>1600</v>
      </c>
    </row>
    <row r="112" spans="1:9" ht="15" x14ac:dyDescent="0.25">
      <c r="A112" s="1" t="s">
        <v>222</v>
      </c>
      <c r="B112" s="2">
        <f>HYPERLINK("https://www.omim.org/entry/609342",609342)</f>
        <v>609342</v>
      </c>
      <c r="C112" s="3">
        <f>HYPERLINK("https://www.omim.org/entry/261000",261000)</f>
        <v>261000</v>
      </c>
      <c r="I112" s="6" t="s">
        <v>1601</v>
      </c>
    </row>
    <row r="113" spans="1:9" ht="15" x14ac:dyDescent="0.25">
      <c r="A113" s="1" t="s">
        <v>224</v>
      </c>
      <c r="B113" s="2">
        <f>HYPERLINK("https://www.omim.org/entry/613381",613381)</f>
        <v>613381</v>
      </c>
      <c r="C113" s="3">
        <f>HYPERLINK("https://www.omim.org/entry/236200",236200)</f>
        <v>236200</v>
      </c>
      <c r="I113" s="6" t="s">
        <v>1602</v>
      </c>
    </row>
    <row r="114" spans="1:9" ht="15" x14ac:dyDescent="0.25">
      <c r="A114" s="1" t="s">
        <v>226</v>
      </c>
      <c r="B114" s="2">
        <f>HYPERLINK("https://www.omim.org/entry/613798",613798)</f>
        <v>613798</v>
      </c>
      <c r="C114" s="3">
        <f>HYPERLINK("https://www.omim.org/entry/613807",613807)</f>
        <v>613807</v>
      </c>
      <c r="I114" s="6" t="s">
        <v>1603</v>
      </c>
    </row>
    <row r="115" spans="1:9" ht="15" x14ac:dyDescent="0.25">
      <c r="A115" s="1" t="s">
        <v>228</v>
      </c>
      <c r="B115" s="2">
        <f>HYPERLINK("https://www.omim.org/entry/613799",613799)</f>
        <v>613799</v>
      </c>
      <c r="C115" s="3">
        <f>HYPERLINK("https://www.omim.org/entry/613808",613808)</f>
        <v>613808</v>
      </c>
      <c r="I115" s="6" t="s">
        <v>1604</v>
      </c>
    </row>
    <row r="116" spans="1:9" ht="15" x14ac:dyDescent="0.25">
      <c r="A116" s="1" t="s">
        <v>230</v>
      </c>
      <c r="B116" s="2">
        <f>HYPERLINK("https://www.omim.org/entry/611051",611051)</f>
        <v>611051</v>
      </c>
      <c r="C116" s="3">
        <f>HYPERLINK("https://www.omim.org/entry/607453",607453)</f>
        <v>607453</v>
      </c>
      <c r="I116" s="6" t="s">
        <v>1605</v>
      </c>
    </row>
    <row r="117" spans="1:9" ht="15" x14ac:dyDescent="0.25">
      <c r="A117" s="1" t="s">
        <v>232</v>
      </c>
      <c r="B117" s="2">
        <f>HYPERLINK("https://www.omim.org/entry/607752",607752)</f>
        <v>607752</v>
      </c>
      <c r="C117" s="3">
        <f>HYPERLINK("https://www.omim.org/entry/615872",615872)</f>
        <v>615872</v>
      </c>
      <c r="I117" s="6" t="s">
        <v>1606</v>
      </c>
    </row>
    <row r="118" spans="1:9" ht="15" x14ac:dyDescent="0.25">
      <c r="A118" s="1" t="s">
        <v>234</v>
      </c>
      <c r="B118" s="2">
        <f>HYPERLINK("https://www.omim.org/entry/107265",107265)</f>
        <v>107265</v>
      </c>
      <c r="C118" s="3">
        <f>HYPERLINK("https://www.omim.org/entry/613493",613493)</f>
        <v>613493</v>
      </c>
      <c r="I118" s="6" t="s">
        <v>1607</v>
      </c>
    </row>
    <row r="119" spans="1:9" ht="15" x14ac:dyDescent="0.25">
      <c r="A119" s="1" t="s">
        <v>236</v>
      </c>
      <c r="B119" s="2">
        <f>HYPERLINK("https://www.omim.org/entry/186780",186780)</f>
        <v>186780</v>
      </c>
      <c r="C119" s="3">
        <f>HYPERLINK("https://www.omim.org/entry/610163",610163)</f>
        <v>610163</v>
      </c>
      <c r="I119" s="6" t="s">
        <v>1608</v>
      </c>
    </row>
    <row r="120" spans="1:9" ht="15" x14ac:dyDescent="0.25">
      <c r="A120" s="17" t="s">
        <v>238</v>
      </c>
      <c r="B120" s="2">
        <f>HYPERLINK("https://www.omim.org/entry/186711",186711)</f>
        <v>186711</v>
      </c>
      <c r="C120" s="3">
        <f>HYPERLINK("https://www.omim.org/entry/615122",615122)</f>
        <v>615122</v>
      </c>
      <c r="I120" s="6" t="s">
        <v>1609</v>
      </c>
    </row>
    <row r="121" spans="1:9" ht="15" x14ac:dyDescent="0.25">
      <c r="A121" s="17" t="s">
        <v>240</v>
      </c>
      <c r="B121" s="2">
        <f>HYPERLINK("https://www.omim.org/entry/186760",186760)</f>
        <v>186760</v>
      </c>
      <c r="C121" s="3">
        <f>HYPERLINK("https://www.omim.org/entry/620901",620901)</f>
        <v>620901</v>
      </c>
      <c r="I121" s="6" t="s">
        <v>1610</v>
      </c>
    </row>
    <row r="122" spans="1:9" ht="15" x14ac:dyDescent="0.25">
      <c r="A122" s="1" t="s">
        <v>242</v>
      </c>
      <c r="B122" s="2">
        <f>HYPERLINK("https://www.omim.org/entry/606475",606475)</f>
        <v>606475</v>
      </c>
      <c r="C122" s="3">
        <f>HYPERLINK("https://www.omim.org/entry/613646",613646)</f>
        <v>613646</v>
      </c>
      <c r="I122" s="6" t="s">
        <v>1611</v>
      </c>
    </row>
    <row r="123" spans="1:9" ht="15" x14ac:dyDescent="0.25">
      <c r="A123" s="1" t="s">
        <v>244</v>
      </c>
      <c r="B123" s="2">
        <f>HYPERLINK("https://www.omim.org/entry/186790",186790)</f>
        <v>186790</v>
      </c>
      <c r="C123" s="3">
        <f>HYPERLINK("https://www.omim.org/entry/615617",615617)</f>
        <v>615617</v>
      </c>
      <c r="I123" s="6" t="s">
        <v>1612</v>
      </c>
    </row>
    <row r="124" spans="1:9" ht="15" x14ac:dyDescent="0.25">
      <c r="A124" s="1" t="s">
        <v>246</v>
      </c>
      <c r="B124" s="2">
        <f>HYPERLINK("https://www.omim.org/entry/186830",186830)</f>
        <v>186830</v>
      </c>
      <c r="C124" s="3">
        <f>HYPERLINK("https://www.omim.org/entry/615615",615615)</f>
        <v>615615</v>
      </c>
      <c r="I124" s="6" t="s">
        <v>1613</v>
      </c>
    </row>
    <row r="125" spans="1:9" ht="15" x14ac:dyDescent="0.25">
      <c r="A125" s="1" t="s">
        <v>248</v>
      </c>
      <c r="B125" s="2">
        <f>HYPERLINK("https://www.omim.org/entry/186740",186740)</f>
        <v>186740</v>
      </c>
      <c r="C125" s="3">
        <f>HYPERLINK("https://www.omim.org/entry/615607",615607)</f>
        <v>615607</v>
      </c>
      <c r="I125" s="6" t="s">
        <v>1614</v>
      </c>
    </row>
    <row r="126" spans="1:9" ht="15" x14ac:dyDescent="0.25">
      <c r="A126" s="1" t="s">
        <v>250</v>
      </c>
      <c r="B126" s="2">
        <f>HYPERLINK("https://www.omim.org/entry/109535",109535)</f>
        <v>109535</v>
      </c>
      <c r="C126" s="3">
        <f>HYPERLINK("https://www.omim.org/entry/606843",606843)</f>
        <v>606843</v>
      </c>
      <c r="I126" s="6" t="s">
        <v>1615</v>
      </c>
    </row>
    <row r="127" spans="1:9" ht="15" x14ac:dyDescent="0.25">
      <c r="A127" s="1" t="s">
        <v>252</v>
      </c>
      <c r="B127" s="2">
        <f>HYPERLINK("https://www.omim.org/entry/300386",300386)</f>
        <v>300386</v>
      </c>
      <c r="C127" s="3">
        <f>HYPERLINK("https://www.omim.org/entry/308230",308230)</f>
        <v>308230</v>
      </c>
      <c r="I127" s="6" t="s">
        <v>1616</v>
      </c>
    </row>
    <row r="128" spans="1:9" ht="15" x14ac:dyDescent="0.25">
      <c r="A128" s="17" t="s">
        <v>254</v>
      </c>
      <c r="B128" s="2">
        <f>HYPERLINK("https://www.omim.org/entry/120920",120920)</f>
        <v>120920</v>
      </c>
      <c r="C128" s="3">
        <f>HYPERLINK("https://www.omim.org/entry/612922",612922)</f>
        <v>612922</v>
      </c>
      <c r="I128" s="6" t="s">
        <v>1617</v>
      </c>
    </row>
    <row r="129" spans="1:9" ht="15" x14ac:dyDescent="0.25">
      <c r="A129" s="1" t="s">
        <v>256</v>
      </c>
      <c r="B129" s="2">
        <f>HYPERLINK("https://www.omim.org/entry/125240",125240)</f>
        <v>125240</v>
      </c>
      <c r="C129" s="3">
        <f>HYPERLINK("https://www.omim.org/entry/613793",613793)</f>
        <v>613793</v>
      </c>
      <c r="I129" s="6" t="s">
        <v>1618</v>
      </c>
    </row>
    <row r="130" spans="1:9" ht="15" x14ac:dyDescent="0.25">
      <c r="A130" s="1" t="s">
        <v>258</v>
      </c>
      <c r="B130" s="2">
        <f>HYPERLINK("https://www.omim.org/entry/107271",107271)</f>
        <v>107271</v>
      </c>
      <c r="C130" s="3">
        <f>HYPERLINK("https://www.omim.org/entry/612300",612300)</f>
        <v>612300</v>
      </c>
      <c r="I130" s="6" t="s">
        <v>1619</v>
      </c>
    </row>
    <row r="131" spans="1:9" ht="15" x14ac:dyDescent="0.25">
      <c r="A131" s="1" t="s">
        <v>260</v>
      </c>
      <c r="B131" s="2">
        <f>HYPERLINK("https://www.omim.org/entry/602840",602840)</f>
        <v>602840</v>
      </c>
      <c r="C131" s="3">
        <f>HYPERLINK("https://www.omim.org/entry/618261",618261)</f>
        <v>618261</v>
      </c>
      <c r="I131" s="6" t="s">
        <v>1620</v>
      </c>
    </row>
    <row r="132" spans="1:9" ht="15" x14ac:dyDescent="0.25">
      <c r="A132" s="1" t="s">
        <v>262</v>
      </c>
      <c r="B132" s="2">
        <f>HYPERLINK("https://www.omim.org/entry/112205",112205)</f>
        <v>112205</v>
      </c>
      <c r="C132" s="3">
        <f>HYPERLINK("https://www.omim.org/entry/613501",613501)</f>
        <v>613501</v>
      </c>
      <c r="I132" s="6" t="s">
        <v>263</v>
      </c>
    </row>
    <row r="133" spans="1:9" ht="15" x14ac:dyDescent="0.25">
      <c r="A133" s="1" t="s">
        <v>264</v>
      </c>
      <c r="B133" s="2">
        <f>HYPERLINK("https://www.omim.org/entry/147245",147245)</f>
        <v>147245</v>
      </c>
      <c r="C133" s="3">
        <f>HYPERLINK("https://www.omim.org/entry/612692",612692)</f>
        <v>612692</v>
      </c>
      <c r="I133" s="6" t="s">
        <v>265</v>
      </c>
    </row>
    <row r="134" spans="1:9" ht="15" x14ac:dyDescent="0.25">
      <c r="A134" s="1" t="s">
        <v>266</v>
      </c>
      <c r="B134" s="2">
        <f>HYPERLINK("https://www.omim.org/entry/186845",186845)</f>
        <v>186845</v>
      </c>
      <c r="C134" s="3">
        <f>HYPERLINK("https://www.omim.org/entry/613496",613496)</f>
        <v>613496</v>
      </c>
      <c r="I134" s="6" t="s">
        <v>1621</v>
      </c>
    </row>
    <row r="135" spans="1:9" ht="15" x14ac:dyDescent="0.25">
      <c r="A135" s="1" t="s">
        <v>268</v>
      </c>
      <c r="B135" s="2">
        <f>HYPERLINK("https://www.omim.org/entry/607393",607393)</f>
        <v>607393</v>
      </c>
      <c r="C135" s="3">
        <f>HYPERLINK("https://www.omim.org/entry/145000",145000)</f>
        <v>145000</v>
      </c>
      <c r="I135" s="6" t="s">
        <v>1622</v>
      </c>
    </row>
    <row r="136" spans="1:9" ht="15" x14ac:dyDescent="0.25">
      <c r="A136" s="1" t="s">
        <v>270</v>
      </c>
      <c r="B136" s="2">
        <f>HYPERLINK("https://www.omim.org/entry/609937",609937)</f>
        <v>609937</v>
      </c>
      <c r="C136" s="3">
        <f>HYPERLINK("https://www.omim.org/entry/616910",616910)</f>
        <v>616910</v>
      </c>
      <c r="I136" s="6" t="s">
        <v>1623</v>
      </c>
    </row>
    <row r="137" spans="1:9" ht="15" x14ac:dyDescent="0.25">
      <c r="A137" s="1" t="s">
        <v>272</v>
      </c>
      <c r="B137" s="2">
        <f>HYPERLINK("https://www.omim.org/entry/605516",605516)</f>
        <v>605516</v>
      </c>
      <c r="C137" s="3">
        <f>HYPERLINK("https://www.omim.org/entry/601067",601067)</f>
        <v>601067</v>
      </c>
      <c r="D137" s="15">
        <f>HYPERLINK("https://www.omim.org/entry/601386",601386)</f>
        <v>601386</v>
      </c>
      <c r="I137" s="6" t="s">
        <v>1624</v>
      </c>
    </row>
    <row r="138" spans="1:9" ht="15" x14ac:dyDescent="0.25">
      <c r="A138" s="1" t="s">
        <v>274</v>
      </c>
      <c r="B138" s="2">
        <f>HYPERLINK("https://www.omim.org/entry/600856",600856)</f>
        <v>600856</v>
      </c>
      <c r="C138" s="3">
        <f>HYPERLINK("https://www.omim.org/entry/614732",614732)</f>
        <v>614732</v>
      </c>
      <c r="I138" s="6" t="s">
        <v>1625</v>
      </c>
    </row>
    <row r="139" spans="1:9" ht="15" x14ac:dyDescent="0.25">
      <c r="A139" s="1" t="s">
        <v>276</v>
      </c>
      <c r="B139" s="2">
        <f>HYPERLINK("https://www.omim.org/entry/614591",614591)</f>
        <v>614591</v>
      </c>
      <c r="C139" s="3">
        <f>HYPERLINK("https://www.omim.org/entry/614614",614614)</f>
        <v>614614</v>
      </c>
      <c r="D139" s="15">
        <f>HYPERLINK("https://www.omim.org/entry/618410",618410)</f>
        <v>618410</v>
      </c>
      <c r="I139" s="6" t="s">
        <v>1626</v>
      </c>
    </row>
    <row r="140" spans="1:9" ht="15" x14ac:dyDescent="0.25">
      <c r="A140" s="1" t="s">
        <v>278</v>
      </c>
      <c r="B140" s="2">
        <f>HYPERLINK("https://www.omim.org/entry/600749",600749)</f>
        <v>600749</v>
      </c>
      <c r="C140" s="3">
        <f>HYPERLINK("https://www.omim.org/entry/245480",245480)</f>
        <v>245480</v>
      </c>
      <c r="I140" s="6" t="s">
        <v>1627</v>
      </c>
    </row>
    <row r="141" spans="1:9" ht="15" x14ac:dyDescent="0.25">
      <c r="A141" s="1" t="s">
        <v>280</v>
      </c>
      <c r="B141" s="2">
        <f>HYPERLINK("https://www.omim.org/entry/615494",615494)</f>
        <v>615494</v>
      </c>
      <c r="C141" s="3">
        <f>HYPERLINK("https://www.omim.org/entry/615500",615500)</f>
        <v>615500</v>
      </c>
      <c r="I141" s="6" t="s">
        <v>1628</v>
      </c>
    </row>
    <row r="142" spans="1:9" ht="15" x14ac:dyDescent="0.25">
      <c r="A142" s="1" t="s">
        <v>282</v>
      </c>
      <c r="B142" s="2">
        <f>HYPERLINK("https://www.omim.org/entry/618058",618058)</f>
        <v>618058</v>
      </c>
      <c r="C142" s="3">
        <f>HYPERLINK("https://www.omim.org/entry/618063",618063)</f>
        <v>618063</v>
      </c>
      <c r="I142" s="6" t="s">
        <v>1629</v>
      </c>
    </row>
    <row r="143" spans="1:9" ht="15" x14ac:dyDescent="0.25">
      <c r="A143" s="1" t="s">
        <v>284</v>
      </c>
      <c r="B143" s="2">
        <f>HYPERLINK("https://www.omim.org/entry/138470",138470)</f>
        <v>138470</v>
      </c>
      <c r="C143" s="3">
        <f>HYPERLINK("https://www.omim.org/entry/615561",615561)</f>
        <v>615561</v>
      </c>
      <c r="I143" s="6" t="s">
        <v>1630</v>
      </c>
    </row>
    <row r="144" spans="1:9" ht="15" x14ac:dyDescent="0.25">
      <c r="A144" s="1" t="s">
        <v>286</v>
      </c>
      <c r="B144" s="2">
        <f>HYPERLINK("https://www.omim.org/entry/134350",134350)</f>
        <v>134350</v>
      </c>
      <c r="C144" s="3">
        <f>HYPERLINK("https://www.omim.org/entry/613912",613912)</f>
        <v>613912</v>
      </c>
      <c r="I144" s="6" t="s">
        <v>1631</v>
      </c>
    </row>
    <row r="145" spans="1:9" ht="15" x14ac:dyDescent="0.25">
      <c r="A145" s="1" t="s">
        <v>288</v>
      </c>
      <c r="B145" s="2">
        <f>HYPERLINK("https://www.omim.org/entry/134370",134370)</f>
        <v>134370</v>
      </c>
      <c r="C145" s="3">
        <f>HYPERLINK("https://www.omim.org/entry/609814",609814)</f>
        <v>609814</v>
      </c>
      <c r="D145" s="15">
        <v>235400</v>
      </c>
      <c r="I145" s="6" t="s">
        <v>1632</v>
      </c>
    </row>
    <row r="146" spans="1:9" ht="15" x14ac:dyDescent="0.25">
      <c r="A146" s="1" t="s">
        <v>290</v>
      </c>
      <c r="B146" s="2">
        <f>HYPERLINK("https://www.omim.org/entry/134371",134371)</f>
        <v>134371</v>
      </c>
      <c r="C146" s="3">
        <f>HYPERLINK("https://www.omim.org/entry/235400",235400)</f>
        <v>235400</v>
      </c>
      <c r="I146" s="6" t="s">
        <v>1633</v>
      </c>
    </row>
    <row r="147" spans="1:9" ht="15" x14ac:dyDescent="0.25">
      <c r="A147" s="1" t="s">
        <v>292</v>
      </c>
      <c r="B147" s="2">
        <f>HYPERLINK("https://www.omim.org/entry/605336",605336)</f>
        <v>605336</v>
      </c>
      <c r="C147" s="3">
        <f>HYPERLINK("https://www.omim.org/entry/235400",235400)</f>
        <v>235400</v>
      </c>
      <c r="I147" s="6" t="s">
        <v>1633</v>
      </c>
    </row>
    <row r="148" spans="1:9" ht="15" x14ac:dyDescent="0.25">
      <c r="A148" s="1" t="s">
        <v>293</v>
      </c>
      <c r="B148" s="2">
        <f>HYPERLINK("https://www.omim.org/entry/217030",217030)</f>
        <v>217030</v>
      </c>
      <c r="C148" s="3">
        <f>HYPERLINK("https://www.omim.org/entry/610984",610984)</f>
        <v>610984</v>
      </c>
      <c r="I148" s="6" t="s">
        <v>1634</v>
      </c>
    </row>
    <row r="149" spans="1:9" ht="15" x14ac:dyDescent="0.25">
      <c r="A149" s="1" t="s">
        <v>295</v>
      </c>
      <c r="B149" s="2">
        <f>HYPERLINK("https://www.omim.org/entry/300383",300383)</f>
        <v>300383</v>
      </c>
      <c r="C149" s="3">
        <f>HYPERLINK("https://www.omim.org/entry/312060",312060)</f>
        <v>312060</v>
      </c>
      <c r="I149" s="6" t="s">
        <v>1635</v>
      </c>
    </row>
    <row r="150" spans="1:9" ht="15" x14ac:dyDescent="0.25">
      <c r="A150" s="1" t="s">
        <v>297</v>
      </c>
      <c r="B150" s="2">
        <f>HYPERLINK("https://www.omim.org/entry/602421",602421)</f>
        <v>602421</v>
      </c>
      <c r="C150" s="3">
        <f>HYPERLINK("https://www.omim.org/entry/219700",219700)</f>
        <v>219700</v>
      </c>
      <c r="I150" s="6" t="s">
        <v>1636</v>
      </c>
    </row>
    <row r="151" spans="1:9" ht="15" x14ac:dyDescent="0.25">
      <c r="A151" s="17" t="s">
        <v>299</v>
      </c>
      <c r="B151" s="2">
        <f>HYPERLINK("https://www.omim.org/entry/118490",118490)</f>
        <v>118490</v>
      </c>
      <c r="C151" s="3">
        <f>HYPERLINK("https://www.omim.org/entry/254210",254210)</f>
        <v>254210</v>
      </c>
      <c r="I151" s="6" t="s">
        <v>1637</v>
      </c>
    </row>
    <row r="152" spans="1:9" ht="15" x14ac:dyDescent="0.25">
      <c r="A152" s="1" t="s">
        <v>301</v>
      </c>
      <c r="B152" s="2">
        <f>HYPERLINK("https://www.omim.org/entry/100690",100690)</f>
        <v>100690</v>
      </c>
      <c r="C152" s="3">
        <f>HYPERLINK("https://www.omim.org/entry/608930",608930)</f>
        <v>608930</v>
      </c>
      <c r="I152" s="6" t="s">
        <v>1638</v>
      </c>
    </row>
    <row r="153" spans="1:9" ht="15" x14ac:dyDescent="0.25">
      <c r="A153" s="1" t="s">
        <v>303</v>
      </c>
      <c r="B153" s="2">
        <f>HYPERLINK("https://www.omim.org/entry/100710",100710)</f>
        <v>100710</v>
      </c>
      <c r="C153" s="3">
        <f>HYPERLINK("https://www.omim.org/entry/616314",616314)</f>
        <v>616314</v>
      </c>
      <c r="D153" s="15">
        <f>HYPERLINK("https://www.omim.org/entry/616313",616313)</f>
        <v>616313</v>
      </c>
      <c r="I153" s="6" t="s">
        <v>1639</v>
      </c>
    </row>
    <row r="154" spans="1:9" ht="15" x14ac:dyDescent="0.25">
      <c r="A154" s="1" t="s">
        <v>305</v>
      </c>
      <c r="B154" s="2">
        <f>HYPERLINK("https://www.omim.org/entry/100720",100720)</f>
        <v>100720</v>
      </c>
      <c r="C154" s="3">
        <f>HYPERLINK("https://www.omim.org/entry/616323",616323)</f>
        <v>616323</v>
      </c>
      <c r="D154" s="15">
        <f>HYPERLINK("https://www.omim.org/entry/616322",616322)</f>
        <v>616322</v>
      </c>
      <c r="E154" s="15">
        <f>HYPERLINK("https://www.omim.org/entry/616321",616321)</f>
        <v>616321</v>
      </c>
      <c r="I154" s="6" t="s">
        <v>1640</v>
      </c>
    </row>
    <row r="155" spans="1:9" ht="15" x14ac:dyDescent="0.25">
      <c r="A155" s="1" t="s">
        <v>307</v>
      </c>
      <c r="B155" s="2">
        <f>HYPERLINK("https://www.omim.org/entry/100725",100725)</f>
        <v>100725</v>
      </c>
      <c r="C155" s="3">
        <f>HYPERLINK("https://www.omim.org/entry/605809",605809)</f>
        <v>605809</v>
      </c>
      <c r="D155" s="15">
        <f>HYPERLINK("https://www.omim.org/entry/608931",608931)</f>
        <v>608931</v>
      </c>
      <c r="E155" s="15">
        <f>HYPERLINK("https://www.omim.org/entry/616324",616324)</f>
        <v>616324</v>
      </c>
      <c r="I155" s="6" t="s">
        <v>1641</v>
      </c>
    </row>
    <row r="156" spans="1:9" ht="15" x14ac:dyDescent="0.25">
      <c r="A156" s="1" t="s">
        <v>309</v>
      </c>
      <c r="B156" s="2">
        <f>HYPERLINK("https://www.omim.org/entry/605564",605564)</f>
        <v>605564</v>
      </c>
      <c r="C156" s="3">
        <f>HYPERLINK("https://www.omim.org/entry/609439",609439)</f>
        <v>609439</v>
      </c>
      <c r="I156" s="6" t="s">
        <v>1642</v>
      </c>
    </row>
    <row r="157" spans="1:9" ht="15" x14ac:dyDescent="0.25">
      <c r="A157" s="17" t="s">
        <v>311</v>
      </c>
      <c r="B157" s="2">
        <f>HYPERLINK("https://www.omim.org/entry/600005",600005)</f>
        <v>600005</v>
      </c>
      <c r="C157" s="3">
        <f>HYPERLINK("https://www.omim.org/entry/209920",209920)</f>
        <v>209920</v>
      </c>
      <c r="I157" s="6" t="s">
        <v>1643</v>
      </c>
    </row>
    <row r="158" spans="1:9" ht="15" x14ac:dyDescent="0.25">
      <c r="A158" s="1" t="s">
        <v>313</v>
      </c>
      <c r="B158" s="2">
        <f>HYPERLINK("https://www.omim.org/entry/602727",602727)</f>
        <v>602727</v>
      </c>
      <c r="C158" s="3">
        <f>HYPERLINK("https://www.omim.org/entry/611490",611490)</f>
        <v>611490</v>
      </c>
      <c r="D158" s="15">
        <f>HYPERLINK("https://www.omim.org/entry/166600",166600)</f>
        <v>166600</v>
      </c>
      <c r="I158" s="6" t="s">
        <v>1644</v>
      </c>
    </row>
    <row r="159" spans="1:9" ht="15" x14ac:dyDescent="0.25">
      <c r="A159" s="1" t="s">
        <v>315</v>
      </c>
      <c r="B159" s="2">
        <f>HYPERLINK("https://www.omim.org/entry/602023",602023)</f>
        <v>602023</v>
      </c>
      <c r="C159" s="3">
        <f>HYPERLINK("https://www.omim.org/entry/607364",607364)</f>
        <v>607364</v>
      </c>
      <c r="I159" s="6" t="s">
        <v>1645</v>
      </c>
    </row>
    <row r="160" spans="1:9" ht="15" x14ac:dyDescent="0.25">
      <c r="A160" s="1" t="s">
        <v>317</v>
      </c>
      <c r="B160" s="2">
        <f>HYPERLINK("https://www.omim.org/entry/605608",605608)</f>
        <v>605608</v>
      </c>
      <c r="C160" s="3">
        <f>HYPERLINK("https://www.omim.org/entry/614035",614035)</f>
        <v>614035</v>
      </c>
      <c r="I160" s="6" t="s">
        <v>1646</v>
      </c>
    </row>
    <row r="161" spans="1:9" ht="15" x14ac:dyDescent="0.25">
      <c r="A161" s="1" t="s">
        <v>319</v>
      </c>
      <c r="B161" s="2">
        <f>HYPERLINK("https://www.omim.org/entry/601119",601119)</f>
        <v>601119</v>
      </c>
      <c r="C161" s="3">
        <f>HYPERLINK("https://www.omim.org/entry/614129",614129)</f>
        <v>614129</v>
      </c>
      <c r="I161" s="6" t="s">
        <v>1647</v>
      </c>
    </row>
    <row r="162" spans="1:9" ht="15" x14ac:dyDescent="0.25">
      <c r="A162" s="1" t="s">
        <v>321</v>
      </c>
      <c r="B162" s="2">
        <f>HYPERLINK("https://www.omim.org/entry/606397",606397)</f>
        <v>606397</v>
      </c>
      <c r="C162" s="3">
        <f>HYPERLINK("https://www.omim.org/entry/276902",276902)</f>
        <v>276902</v>
      </c>
      <c r="I162" s="6" t="s">
        <v>1648</v>
      </c>
    </row>
    <row r="163" spans="1:9" ht="15" x14ac:dyDescent="0.25">
      <c r="A163" s="1" t="s">
        <v>323</v>
      </c>
      <c r="B163" s="2">
        <f>HYPERLINK("https://www.omim.org/entry/120280",120280)</f>
        <v>120280</v>
      </c>
      <c r="C163" s="3">
        <f>HYPERLINK("https://www.omim.org/entry/604841",604841)</f>
        <v>604841</v>
      </c>
      <c r="D163" s="15">
        <f>HYPERLINK("https://www.omim.org/entry/154780",154780)</f>
        <v>154780</v>
      </c>
      <c r="E163" s="15">
        <f>HYPERLINK("https://www.omim.org/entry/618533",618533)</f>
        <v>618533</v>
      </c>
      <c r="I163" s="6" t="s">
        <v>1649</v>
      </c>
    </row>
    <row r="164" spans="1:9" ht="15" x14ac:dyDescent="0.25">
      <c r="A164" s="1" t="s">
        <v>325</v>
      </c>
      <c r="B164" s="2">
        <f>HYPERLINK("https://www.omim.org/entry/120290",120290)</f>
        <v>120290</v>
      </c>
      <c r="C164" s="3">
        <f>HYPERLINK("https://www.omim.org/entry/609706",609706)</f>
        <v>609706</v>
      </c>
      <c r="I164" s="6" t="s">
        <v>1650</v>
      </c>
    </row>
    <row r="165" spans="1:9" ht="15" x14ac:dyDescent="0.25">
      <c r="A165" s="1" t="s">
        <v>327</v>
      </c>
      <c r="B165" s="2">
        <f>HYPERLINK("https://www.omim.org/entry/120350",120350)</f>
        <v>120350</v>
      </c>
      <c r="C165" s="3">
        <f>HYPERLINK("https://www.omim.org/entry/616720",616720)</f>
        <v>616720</v>
      </c>
      <c r="I165" s="6" t="s">
        <v>1651</v>
      </c>
    </row>
    <row r="166" spans="1:9" ht="15" x14ac:dyDescent="0.25">
      <c r="A166" s="1" t="s">
        <v>329</v>
      </c>
      <c r="B166" s="2">
        <f>HYPERLINK("https://www.omim.org/entry/120150",120150)</f>
        <v>120150</v>
      </c>
      <c r="C166" s="3">
        <f>HYPERLINK("https://www.omim.org/entry/166200",166200)</f>
        <v>166200</v>
      </c>
      <c r="I166" s="6" t="s">
        <v>1652</v>
      </c>
    </row>
    <row r="167" spans="1:9" ht="15" x14ac:dyDescent="0.25">
      <c r="A167" s="1" t="s">
        <v>331</v>
      </c>
      <c r="B167" s="2">
        <f>HYPERLINK("https://www.omim.org/entry/120160",120160)</f>
        <v>120160</v>
      </c>
      <c r="C167" s="3">
        <f>HYPERLINK("https://www.omim.org/entry/259420",259420)</f>
        <v>259420</v>
      </c>
      <c r="D167" s="15">
        <f>HYPERLINK("https://www.omim.org/entry/166710",166710)</f>
        <v>166710</v>
      </c>
      <c r="E167" s="15">
        <f>HYPERLINK("https://www.omim.org/entry/617821",617821)</f>
        <v>617821</v>
      </c>
      <c r="F167" s="15">
        <f>HYPERLINK("https://www.omim.org/entry/619120",619120)</f>
        <v>619120</v>
      </c>
      <c r="G167" s="15">
        <f>HYPERLINK("https://www.omim.org/entry/225320",225320)</f>
        <v>225320</v>
      </c>
      <c r="H167" s="18">
        <f>HYPERLINK("https://www.omim.org/entry/166210",166210)</f>
        <v>166210</v>
      </c>
      <c r="I167" s="6" t="s">
        <v>1653</v>
      </c>
    </row>
    <row r="168" spans="1:9" ht="15" x14ac:dyDescent="0.25">
      <c r="A168" s="1" t="s">
        <v>333</v>
      </c>
      <c r="B168" s="2">
        <f>HYPERLINK("https://www.omim.org/entry/120180",120180)</f>
        <v>120180</v>
      </c>
      <c r="C168" s="3">
        <f>HYPERLINK("https://www.omim.org/entry/130050",130050)</f>
        <v>130050</v>
      </c>
      <c r="D168" s="15">
        <f>HYPERLINK("https://www.omim.org/entry/618343",618343)</f>
        <v>618343</v>
      </c>
      <c r="I168" s="6" t="s">
        <v>1654</v>
      </c>
    </row>
    <row r="169" spans="1:9" ht="15" x14ac:dyDescent="0.25">
      <c r="A169" s="1" t="s">
        <v>335</v>
      </c>
      <c r="B169" s="2">
        <f>HYPERLINK("https://www.omim.org/entry/120070",120070)</f>
        <v>120070</v>
      </c>
      <c r="C169" s="3">
        <f>HYPERLINK("https://www.omim.org/entry/620536",620536)</f>
        <v>620536</v>
      </c>
      <c r="I169" s="6" t="s">
        <v>1655</v>
      </c>
    </row>
    <row r="170" spans="1:9" ht="15" x14ac:dyDescent="0.25">
      <c r="A170" s="17" t="s">
        <v>337</v>
      </c>
      <c r="B170" s="2">
        <f>HYPERLINK("https://www.omim.org/entry/120131",120131)</f>
        <v>120131</v>
      </c>
      <c r="C170" s="3">
        <f>HYPERLINK("https://www.omim.org/entry/203780",203780)</f>
        <v>203780</v>
      </c>
      <c r="I170" s="6" t="s">
        <v>1656</v>
      </c>
    </row>
    <row r="171" spans="1:9" ht="15" x14ac:dyDescent="0.25">
      <c r="A171" s="1" t="s">
        <v>339</v>
      </c>
      <c r="B171" s="2">
        <f>HYPERLINK("https://www.omim.org/entry/303630",303630)</f>
        <v>303630</v>
      </c>
      <c r="C171" s="3">
        <f>HYPERLINK("https://www.omim.org/entry/301050",301050)</f>
        <v>301050</v>
      </c>
      <c r="I171" s="6" t="s">
        <v>1657</v>
      </c>
    </row>
    <row r="172" spans="1:9" ht="15" x14ac:dyDescent="0.25">
      <c r="A172" s="1" t="s">
        <v>341</v>
      </c>
      <c r="B172" s="2">
        <f>HYPERLINK("https://www.omim.org/entry/603033",603033)</f>
        <v>603033</v>
      </c>
      <c r="C172" s="3">
        <f>HYPERLINK("https://www.omim.org/entry/603034",603034)</f>
        <v>603034</v>
      </c>
      <c r="I172" s="6" t="s">
        <v>1658</v>
      </c>
    </row>
    <row r="173" spans="1:9" ht="15" x14ac:dyDescent="0.25">
      <c r="A173" s="1" t="s">
        <v>343</v>
      </c>
      <c r="B173" s="2">
        <f>HYPERLINK("https://www.omim.org/entry/601924",601924)</f>
        <v>601924</v>
      </c>
      <c r="C173" s="3">
        <f>HYPERLINK("https://www.omim.org/entry/616414",616414)</f>
        <v>616414</v>
      </c>
      <c r="I173" s="6" t="s">
        <v>1659</v>
      </c>
    </row>
    <row r="174" spans="1:9" ht="15" x14ac:dyDescent="0.25">
      <c r="A174" s="1" t="s">
        <v>345</v>
      </c>
      <c r="B174" s="2">
        <f>HYPERLINK("https://www.omim.org/entry/609825",609825)</f>
        <v>609825</v>
      </c>
      <c r="C174" s="3">
        <f>HYPERLINK("https://www.omim.org/entry/607426",607426)</f>
        <v>607426</v>
      </c>
      <c r="I174" s="6" t="s">
        <v>1660</v>
      </c>
    </row>
    <row r="175" spans="1:9" ht="15" x14ac:dyDescent="0.25">
      <c r="A175" s="1" t="s">
        <v>347</v>
      </c>
      <c r="B175" s="2">
        <f>HYPERLINK("https://www.omim.org/entry/612898",612898)</f>
        <v>612898</v>
      </c>
      <c r="C175" s="3">
        <f>HYPERLINK("https://www.omim.org/entry/616276",616276)</f>
        <v>616276</v>
      </c>
      <c r="I175" s="6" t="s">
        <v>1661</v>
      </c>
    </row>
    <row r="176" spans="1:9" ht="15" x14ac:dyDescent="0.25">
      <c r="A176" s="1" t="s">
        <v>349</v>
      </c>
      <c r="B176" s="2">
        <f>HYPERLINK("https://www.omim.org/entry/616359",616359)</f>
        <v>616359</v>
      </c>
      <c r="C176" s="3">
        <f>HYPERLINK("https://www.omim.org/entry/619028",619028)</f>
        <v>619028</v>
      </c>
      <c r="I176" s="6" t="s">
        <v>1662</v>
      </c>
    </row>
    <row r="177" spans="1:9" ht="15" x14ac:dyDescent="0.25">
      <c r="A177" s="1" t="s">
        <v>351</v>
      </c>
      <c r="B177" s="2">
        <f>HYPERLINK("https://www.omim.org/entry/614647",614647)</f>
        <v>614647</v>
      </c>
      <c r="C177" s="3">
        <f>HYPERLINK("https://www.omim.org/entry/614650",614650)</f>
        <v>614650</v>
      </c>
      <c r="I177" s="6" t="s">
        <v>1663</v>
      </c>
    </row>
    <row r="178" spans="1:9" ht="15" x14ac:dyDescent="0.25">
      <c r="A178" s="1" t="s">
        <v>353</v>
      </c>
      <c r="B178" s="2">
        <f>HYPERLINK("https://www.omim.org/entry/601683",601683)</f>
        <v>601683</v>
      </c>
      <c r="C178" s="3">
        <f>HYPERLINK("https://www.omim.org/entry/616733",616733)</f>
        <v>616733</v>
      </c>
      <c r="I178" s="6" t="s">
        <v>1664</v>
      </c>
    </row>
    <row r="179" spans="1:9" ht="15" x14ac:dyDescent="0.25">
      <c r="A179" s="1" t="s">
        <v>355</v>
      </c>
      <c r="B179" s="2">
        <f>HYPERLINK("https://www.omim.org/entry/606980",606980)</f>
        <v>606980</v>
      </c>
      <c r="C179" s="3">
        <f>HYPERLINK("https://www.omim.org/entry/612016",612016)</f>
        <v>612016</v>
      </c>
      <c r="I179" s="6" t="s">
        <v>1665</v>
      </c>
    </row>
    <row r="180" spans="1:9" ht="15" x14ac:dyDescent="0.25">
      <c r="A180" s="1" t="s">
        <v>357</v>
      </c>
      <c r="B180" s="2">
        <f>HYPERLINK("https://www.omim.org/entry/615567",615567)</f>
        <v>615567</v>
      </c>
      <c r="C180" s="3">
        <f>HYPERLINK("https://www.omim.org/entry/615573",615573)</f>
        <v>615573</v>
      </c>
      <c r="I180" s="6" t="s">
        <v>1666</v>
      </c>
    </row>
    <row r="181" spans="1:9" ht="15" x14ac:dyDescent="0.25">
      <c r="A181" s="1" t="s">
        <v>359</v>
      </c>
      <c r="B181" s="2">
        <f>HYPERLINK("https://www.omim.org/entry/612837",612837)</f>
        <v>612837</v>
      </c>
      <c r="C181" s="3">
        <f>HYPERLINK("https://www.omim.org/entry/614654",614654)</f>
        <v>614654</v>
      </c>
      <c r="I181" s="6" t="s">
        <v>1667</v>
      </c>
    </row>
    <row r="182" spans="1:9" ht="15" x14ac:dyDescent="0.25">
      <c r="A182" s="1" t="s">
        <v>361</v>
      </c>
      <c r="B182" s="2">
        <f>HYPERLINK("https://www.omim.org/entry/605000",605000)</f>
        <v>605000</v>
      </c>
      <c r="C182" s="3">
        <f>HYPERLINK("https://www.omim.org/entry/615401",615401)</f>
        <v>615401</v>
      </c>
      <c r="I182" s="6" t="s">
        <v>1668</v>
      </c>
    </row>
    <row r="183" spans="1:9" ht="15" x14ac:dyDescent="0.25">
      <c r="A183" s="1" t="s">
        <v>363</v>
      </c>
      <c r="B183" s="2">
        <f>HYPERLINK("https://www.omim.org/entry/608307",608307)</f>
        <v>608307</v>
      </c>
      <c r="C183" s="3">
        <f>HYPERLINK("https://www.omim.org/entry/237300",237300)</f>
        <v>237300</v>
      </c>
      <c r="I183" s="6" t="s">
        <v>1669</v>
      </c>
    </row>
    <row r="184" spans="1:9" ht="15" x14ac:dyDescent="0.25">
      <c r="A184" s="1" t="s">
        <v>365</v>
      </c>
      <c r="B184" s="2">
        <f>HYPERLINK("https://www.omim.org/entry/600528",600528)</f>
        <v>600528</v>
      </c>
      <c r="C184" s="3">
        <f>HYPERLINK("https://www.omim.org/entry/255120",255120)</f>
        <v>255120</v>
      </c>
      <c r="I184" s="6" t="s">
        <v>1670</v>
      </c>
    </row>
    <row r="185" spans="1:9" ht="15" x14ac:dyDescent="0.25">
      <c r="A185" s="1" t="s">
        <v>367</v>
      </c>
      <c r="B185" s="2">
        <f>HYPERLINK("https://www.omim.org/entry/600650",600650)</f>
        <v>600650</v>
      </c>
      <c r="C185" s="3">
        <f>HYPERLINK("https://www.omim.org/entry/600649",600649)</f>
        <v>600649</v>
      </c>
      <c r="D185" s="15">
        <f>HYPERLINK("https://www.omim.org/entry/608836",608836)</f>
        <v>608836</v>
      </c>
      <c r="E185" s="15">
        <f>HYPERLINK("https://www.omim.org/entry/255110",255110)</f>
        <v>255110</v>
      </c>
      <c r="I185" s="6" t="s">
        <v>1671</v>
      </c>
    </row>
    <row r="186" spans="1:9" ht="15" x14ac:dyDescent="0.25">
      <c r="A186" s="1" t="s">
        <v>369</v>
      </c>
      <c r="B186" s="2">
        <f>HYPERLINK("https://www.omim.org/entry/120650",120650)</f>
        <v>120650</v>
      </c>
      <c r="C186" s="3">
        <f>HYPERLINK("https://www.omim.org/entry/614699",614699)</f>
        <v>614699</v>
      </c>
      <c r="I186" s="6" t="s">
        <v>1672</v>
      </c>
    </row>
    <row r="187" spans="1:9" ht="15" x14ac:dyDescent="0.25">
      <c r="A187" s="1" t="s">
        <v>371</v>
      </c>
      <c r="B187" s="2">
        <f>HYPERLINK("https://www.omim.org/entry/306250",306250)</f>
        <v>306250</v>
      </c>
      <c r="C187" s="3">
        <f>HYPERLINK("https://www.omim.org/entry/300770",300770)</f>
        <v>300770</v>
      </c>
      <c r="I187" s="6" t="s">
        <v>1673</v>
      </c>
    </row>
    <row r="188" spans="1:9" ht="15" x14ac:dyDescent="0.25">
      <c r="A188" s="1" t="s">
        <v>373</v>
      </c>
      <c r="B188" s="2">
        <f>HYPERLINK("https://www.omim.org/entry/138981",138981)</f>
        <v>138981</v>
      </c>
      <c r="C188" s="3">
        <f>HYPERLINK("https://www.omim.org/entry/614370",614370)</f>
        <v>614370</v>
      </c>
      <c r="I188" s="6" t="s">
        <v>1674</v>
      </c>
    </row>
    <row r="189" spans="1:9" ht="15" x14ac:dyDescent="0.25">
      <c r="A189" s="1" t="s">
        <v>375</v>
      </c>
      <c r="B189" s="2">
        <f>HYPERLINK("https://www.omim.org/entry/138971",138971)</f>
        <v>138971</v>
      </c>
      <c r="C189" s="3">
        <f>HYPERLINK("https://www.omim.org/entry/617014",617014)</f>
        <v>617014</v>
      </c>
      <c r="I189" s="6" t="s">
        <v>1675</v>
      </c>
    </row>
    <row r="190" spans="1:9" ht="15" x14ac:dyDescent="0.25">
      <c r="A190" s="1" t="s">
        <v>377</v>
      </c>
      <c r="B190" s="2">
        <f>HYPERLINK("https://www.omim.org/entry/123890",123890)</f>
        <v>123890</v>
      </c>
      <c r="C190" s="3">
        <f>HYPERLINK("https://www.omim.org/entry/616100",616100)</f>
        <v>616100</v>
      </c>
      <c r="I190" s="6" t="s">
        <v>1676</v>
      </c>
    </row>
    <row r="191" spans="1:9" ht="15" x14ac:dyDescent="0.25">
      <c r="A191" s="1" t="s">
        <v>379</v>
      </c>
      <c r="B191" s="2">
        <f>HYPERLINK("https://www.omim.org/entry/606272",606272)</f>
        <v>606272</v>
      </c>
      <c r="C191" s="3">
        <f>HYPERLINK("https://www.omim.org/entry/219800",219800)</f>
        <v>219800</v>
      </c>
      <c r="D191" s="15">
        <f>HYPERLINK("https://www.omim.org/entry/219750",219750)</f>
        <v>219750</v>
      </c>
      <c r="E191" s="15">
        <f>HYPERLINK("https://www.omim.org/entry/219900",219900)</f>
        <v>219900</v>
      </c>
      <c r="I191" s="6" t="s">
        <v>1677</v>
      </c>
    </row>
    <row r="192" spans="1:9" ht="15" x14ac:dyDescent="0.25">
      <c r="A192" s="1" t="s">
        <v>381</v>
      </c>
      <c r="B192" s="2">
        <f>HYPERLINK("https://www.omim.org/entry/123860",123860)</f>
        <v>123860</v>
      </c>
      <c r="C192" s="3">
        <f>HYPERLINK("https://www.omim.org/entry/615897",615897)</f>
        <v>615897</v>
      </c>
      <c r="I192" s="6" t="s">
        <v>382</v>
      </c>
    </row>
    <row r="193" spans="1:9" ht="15" x14ac:dyDescent="0.25">
      <c r="A193" s="1" t="s">
        <v>383</v>
      </c>
      <c r="B193" s="2">
        <f>HYPERLINK("https://www.omim.org/entry/602365",602365)</f>
        <v>602365</v>
      </c>
      <c r="C193" s="3">
        <f>HYPERLINK("https://www.omim.org/entry/245010",245010)</f>
        <v>245010</v>
      </c>
      <c r="D193" s="15">
        <f>HYPERLINK("https://www.omim.org/entry/245000",245000)</f>
        <v>245000</v>
      </c>
      <c r="I193" s="6" t="s">
        <v>1678</v>
      </c>
    </row>
    <row r="194" spans="1:9" ht="15" x14ac:dyDescent="0.25">
      <c r="A194" s="1" t="s">
        <v>385</v>
      </c>
      <c r="B194" s="2">
        <f>HYPERLINK("https://www.omim.org/entry/601105",601105)</f>
        <v>601105</v>
      </c>
      <c r="C194" s="3">
        <f>HYPERLINK("https://www.omim.org/entry/265800",265800)</f>
        <v>265800</v>
      </c>
      <c r="I194" s="6" t="s">
        <v>1679</v>
      </c>
    </row>
    <row r="195" spans="1:9" ht="15" x14ac:dyDescent="0.25">
      <c r="A195" s="1" t="s">
        <v>387</v>
      </c>
      <c r="B195" s="2">
        <f>HYPERLINK("https://www.omim.org/entry/602997",602997)</f>
        <v>602997</v>
      </c>
      <c r="C195" s="3">
        <f>HYPERLINK("https://www.omim.org/entry/261100",261100)</f>
        <v>261100</v>
      </c>
      <c r="I195" s="6" t="s">
        <v>1680</v>
      </c>
    </row>
    <row r="196" spans="1:9" ht="15" x14ac:dyDescent="0.25">
      <c r="A196" s="1" t="s">
        <v>389</v>
      </c>
      <c r="B196" s="2">
        <f>HYPERLINK("https://www.omim.org/entry/603136",603136)</f>
        <v>603136</v>
      </c>
      <c r="C196" s="3">
        <f>HYPERLINK("https://www.omim.org/entry/614496",614496)</f>
        <v>614496</v>
      </c>
      <c r="I196" s="6" t="s">
        <v>1681</v>
      </c>
    </row>
    <row r="197" spans="1:9" ht="15" x14ac:dyDescent="0.25">
      <c r="A197" s="1" t="s">
        <v>391</v>
      </c>
      <c r="B197" s="2">
        <f>HYPERLINK("https://www.omim.org/entry/162643",162643)</f>
        <v>162643</v>
      </c>
      <c r="C197" s="3">
        <f>HYPERLINK("https://www.omim.org/entry/193670",193670)</f>
        <v>193670</v>
      </c>
      <c r="I197" s="6" t="s">
        <v>1682</v>
      </c>
    </row>
    <row r="198" spans="1:9" ht="15" x14ac:dyDescent="0.25">
      <c r="A198" s="1" t="s">
        <v>393</v>
      </c>
      <c r="B198" s="2">
        <f>HYPERLINK("https://www.omim.org/entry/608508",608508)</f>
        <v>608508</v>
      </c>
      <c r="C198" s="3">
        <f>HYPERLINK("https://www.omim.org/entry/233690",233690)</f>
        <v>233690</v>
      </c>
      <c r="I198" s="6" t="s">
        <v>1683</v>
      </c>
    </row>
    <row r="199" spans="1:9" ht="15" x14ac:dyDescent="0.25">
      <c r="A199" s="1" t="s">
        <v>395</v>
      </c>
      <c r="B199" s="2">
        <f>HYPERLINK("https://www.omim.org/entry/300481",300481)</f>
        <v>300481</v>
      </c>
      <c r="C199" s="3">
        <f>HYPERLINK("https://www.omim.org/entry/306400",306400)</f>
        <v>306400</v>
      </c>
      <c r="I199" s="6" t="s">
        <v>1684</v>
      </c>
    </row>
    <row r="200" spans="1:9" ht="15" x14ac:dyDescent="0.25">
      <c r="A200" s="1" t="s">
        <v>397</v>
      </c>
      <c r="B200" s="2">
        <f>HYPERLINK("https://www.omim.org/entry/618334",618334)</f>
        <v>618334</v>
      </c>
      <c r="C200" s="3">
        <f>HYPERLINK("https://www.omim.org/entry/618935",618935)</f>
        <v>618935</v>
      </c>
      <c r="I200" s="6" t="s">
        <v>1685</v>
      </c>
    </row>
    <row r="201" spans="1:9" ht="15" x14ac:dyDescent="0.25">
      <c r="A201" s="1" t="s">
        <v>399</v>
      </c>
      <c r="B201" s="2">
        <f>HYPERLINK("https://www.omim.org/entry/118485",118485)</f>
        <v>118485</v>
      </c>
      <c r="C201" s="3">
        <f>HYPERLINK("https://www.omim.org/entry/613743",613743)</f>
        <v>613743</v>
      </c>
      <c r="I201" s="6" t="s">
        <v>1686</v>
      </c>
    </row>
    <row r="202" spans="1:9" ht="15" x14ac:dyDescent="0.25">
      <c r="A202" s="1" t="s">
        <v>401</v>
      </c>
      <c r="B202" s="2">
        <f>HYPERLINK("https://www.omim.org/entry/610613",610613)</f>
        <v>610613</v>
      </c>
      <c r="C202" s="3">
        <f>HYPERLINK("https://www.omim.org/entry/202010",202010)</f>
        <v>202010</v>
      </c>
      <c r="I202" s="6" t="s">
        <v>1687</v>
      </c>
    </row>
    <row r="203" spans="1:9" ht="15" x14ac:dyDescent="0.25">
      <c r="A203" s="1" t="s">
        <v>403</v>
      </c>
      <c r="B203" s="2">
        <f>HYPERLINK("https://www.omim.org/entry/124080",124080)</f>
        <v>124080</v>
      </c>
      <c r="C203" s="3">
        <f>HYPERLINK("https://www.omim.org/entry/203400",203400)</f>
        <v>203400</v>
      </c>
      <c r="I203" s="6" t="s">
        <v>1688</v>
      </c>
    </row>
    <row r="204" spans="1:9" ht="15" x14ac:dyDescent="0.25">
      <c r="A204" s="1" t="s">
        <v>405</v>
      </c>
      <c r="B204" s="2">
        <f>HYPERLINK("https://www.omim.org/entry/609300",609300)</f>
        <v>609300</v>
      </c>
      <c r="C204" s="3">
        <f>HYPERLINK("https://www.omim.org/entry/202110",202110)</f>
        <v>202110</v>
      </c>
      <c r="I204" s="6" t="s">
        <v>1689</v>
      </c>
    </row>
    <row r="205" spans="1:9" ht="15" x14ac:dyDescent="0.25">
      <c r="A205" s="1" t="s">
        <v>407</v>
      </c>
      <c r="B205" s="2">
        <f>HYPERLINK("https://www.omim.org/entry/613815",613815)</f>
        <v>613815</v>
      </c>
      <c r="C205" s="3">
        <f>HYPERLINK("https://www.omim.org/entry/201910",201910)</f>
        <v>201910</v>
      </c>
      <c r="I205" s="6" t="s">
        <v>1690</v>
      </c>
    </row>
    <row r="206" spans="1:9" ht="15" x14ac:dyDescent="0.25">
      <c r="A206" s="1" t="s">
        <v>409</v>
      </c>
      <c r="B206" s="2">
        <f>HYPERLINK("https://www.omim.org/entry/606530",606530)</f>
        <v>606530</v>
      </c>
      <c r="C206" s="3">
        <f>HYPERLINK("https://www.omim.org/entry/213700",213700)</f>
        <v>213700</v>
      </c>
      <c r="I206" s="6" t="s">
        <v>1691</v>
      </c>
    </row>
    <row r="207" spans="1:9" ht="15" x14ac:dyDescent="0.25">
      <c r="A207" s="1" t="s">
        <v>411</v>
      </c>
      <c r="B207" s="2">
        <f>HYPERLINK("https://www.omim.org/entry/609506",609506)</f>
        <v>609506</v>
      </c>
      <c r="C207" s="3">
        <f>HYPERLINK("https://www.omim.org/entry/264700",264700)</f>
        <v>264700</v>
      </c>
      <c r="I207" s="6" t="s">
        <v>1692</v>
      </c>
    </row>
    <row r="208" spans="1:9" ht="15" x14ac:dyDescent="0.25">
      <c r="A208" s="1" t="s">
        <v>413</v>
      </c>
      <c r="B208" s="2">
        <f>HYPERLINK("https://www.omim.org/entry/608713",608713)</f>
        <v>608713</v>
      </c>
      <c r="C208" s="3">
        <f>HYPERLINK("https://www.omim.org/entry/600081",600081)</f>
        <v>600081</v>
      </c>
      <c r="I208" s="6" t="s">
        <v>1693</v>
      </c>
    </row>
    <row r="209" spans="1:9" ht="15" x14ac:dyDescent="0.25">
      <c r="A209" s="1" t="s">
        <v>415</v>
      </c>
      <c r="B209" s="2">
        <f>HYPERLINK("https://www.omim.org/entry/603711",603711)</f>
        <v>603711</v>
      </c>
      <c r="C209" s="3">
        <f>HYPERLINK("https://www.omim.org/entry/613812",613812)</f>
        <v>613812</v>
      </c>
      <c r="I209" s="6" t="s">
        <v>1694</v>
      </c>
    </row>
    <row r="210" spans="1:9" ht="15" x14ac:dyDescent="0.25">
      <c r="A210" s="1" t="s">
        <v>417</v>
      </c>
      <c r="B210" s="2">
        <f>HYPERLINK("https://www.omim.org/entry/609312",609312)</f>
        <v>609312</v>
      </c>
      <c r="C210" s="3">
        <f>HYPERLINK("https://www.omim.org/entry/223360",223360)</f>
        <v>223360</v>
      </c>
      <c r="I210" s="6" t="s">
        <v>1695</v>
      </c>
    </row>
    <row r="211" spans="1:9" ht="15" x14ac:dyDescent="0.25">
      <c r="A211" s="1" t="s">
        <v>419</v>
      </c>
      <c r="B211" s="2">
        <f>HYPERLINK("https://www.omim.org/entry/248610",248610)</f>
        <v>248610</v>
      </c>
      <c r="C211" s="3">
        <f>HYPERLINK("https://www.omim.org/entry/620699",620699)</f>
        <v>620699</v>
      </c>
      <c r="I211" s="6" t="s">
        <v>1696</v>
      </c>
    </row>
    <row r="212" spans="1:9" ht="15" x14ac:dyDescent="0.25">
      <c r="A212" s="1" t="s">
        <v>421</v>
      </c>
      <c r="B212" s="2">
        <f>HYPERLINK("https://www.omim.org/entry/605988",605988)</f>
        <v>605988</v>
      </c>
      <c r="C212" s="3">
        <f>HYPERLINK("https://www.omim.org/entry/602450",602450)</f>
        <v>602450</v>
      </c>
      <c r="D212" s="15">
        <f>HYPERLINK("https://www.omim.org/entry/603554",603554)</f>
        <v>603554</v>
      </c>
      <c r="I212" s="6" t="s">
        <v>1697</v>
      </c>
    </row>
    <row r="213" spans="1:9" ht="15" x14ac:dyDescent="0.25">
      <c r="A213" s="1" t="s">
        <v>423</v>
      </c>
      <c r="B213" s="2">
        <f>HYPERLINK("https://www.omim.org/entry/600811",600811)</f>
        <v>600811</v>
      </c>
      <c r="C213" s="3">
        <f>HYPERLINK("https://www.omim.org/entry/278740",278740)</f>
        <v>278740</v>
      </c>
      <c r="I213" s="6" t="s">
        <v>1698</v>
      </c>
    </row>
    <row r="214" spans="1:9" ht="15" x14ac:dyDescent="0.25">
      <c r="A214" s="1" t="s">
        <v>425</v>
      </c>
      <c r="B214" s="2">
        <f>HYPERLINK("https://www.omim.org/entry/107930",107930)</f>
        <v>107930</v>
      </c>
      <c r="C214" s="3">
        <f>HYPERLINK("https://www.omim.org/entry/608643",608643)</f>
        <v>608643</v>
      </c>
      <c r="I214" s="6" t="s">
        <v>1699</v>
      </c>
    </row>
    <row r="215" spans="1:9" ht="15" x14ac:dyDescent="0.25">
      <c r="A215" s="1" t="s">
        <v>427</v>
      </c>
      <c r="B215" s="2">
        <f>HYPERLINK("https://www.omim.org/entry/604900",604900)</f>
        <v>604900</v>
      </c>
      <c r="C215" s="3">
        <f>HYPERLINK("https://www.omim.org/entry/615863",615863)</f>
        <v>615863</v>
      </c>
      <c r="I215" s="6" t="s">
        <v>1700</v>
      </c>
    </row>
    <row r="216" spans="1:9" ht="15" x14ac:dyDescent="0.25">
      <c r="A216" s="1" t="s">
        <v>429</v>
      </c>
      <c r="B216" s="2">
        <f>HYPERLINK("https://www.omim.org/entry/602858",602858)</f>
        <v>602858</v>
      </c>
      <c r="C216" s="3">
        <f>HYPERLINK("https://www.omim.org/entry/270400",270400)</f>
        <v>270400</v>
      </c>
      <c r="I216" s="6" t="s">
        <v>1701</v>
      </c>
    </row>
    <row r="217" spans="1:9" ht="15" x14ac:dyDescent="0.25">
      <c r="A217" s="1" t="s">
        <v>431</v>
      </c>
      <c r="B217" s="2">
        <f>HYPERLINK("https://www.omim.org/entry/126060",126060)</f>
        <v>126060</v>
      </c>
      <c r="C217" s="3">
        <f>HYPERLINK("https://www.omim.org/entry/613839",613839)</f>
        <v>613839</v>
      </c>
      <c r="I217" s="6" t="s">
        <v>1702</v>
      </c>
    </row>
    <row r="218" spans="1:9" ht="15" x14ac:dyDescent="0.25">
      <c r="A218" s="1" t="s">
        <v>433</v>
      </c>
      <c r="B218" s="2">
        <f>HYPERLINK("https://www.omim.org/entry/602121",602121)</f>
        <v>602121</v>
      </c>
      <c r="C218" s="3">
        <f>HYPERLINK("https://www.omim.org/entry/124900",124900)</f>
        <v>124900</v>
      </c>
      <c r="D218" s="15">
        <f>HYPERLINK("https://www.omim.org/entry/616632",616632)</f>
        <v>616632</v>
      </c>
      <c r="I218" s="6" t="s">
        <v>1703</v>
      </c>
    </row>
    <row r="219" spans="1:9" ht="15" x14ac:dyDescent="0.25">
      <c r="A219" s="1" t="s">
        <v>435</v>
      </c>
      <c r="B219" s="2">
        <f>HYPERLINK("https://www.omim.org/entry/147892",147892)</f>
        <v>147892</v>
      </c>
      <c r="C219" s="3">
        <f>HYPERLINK("https://www.omim.org/entry/619855",619855)</f>
        <v>619855</v>
      </c>
      <c r="I219" s="6" t="s">
        <v>1704</v>
      </c>
    </row>
    <row r="220" spans="1:9" ht="15" x14ac:dyDescent="0.25">
      <c r="A220" s="1" t="s">
        <v>437</v>
      </c>
      <c r="B220" s="2">
        <f>HYPERLINK("https://www.omim.org/entry/300126",300126)</f>
        <v>300126</v>
      </c>
      <c r="C220" s="3">
        <f>HYPERLINK("https://www.omim.org/entry/305000",305000)</f>
        <v>305000</v>
      </c>
      <c r="I220" s="6" t="s">
        <v>1705</v>
      </c>
    </row>
    <row r="221" spans="1:9" ht="15" x14ac:dyDescent="0.25">
      <c r="A221" s="1" t="s">
        <v>439</v>
      </c>
      <c r="B221" s="2">
        <f>HYPERLINK("https://www.omim.org/entry/608770",608770)</f>
        <v>608770</v>
      </c>
      <c r="C221" s="3">
        <f>HYPERLINK("https://www.omim.org/entry/245348",245348)</f>
        <v>245348</v>
      </c>
      <c r="I221" s="6" t="s">
        <v>1706</v>
      </c>
    </row>
    <row r="222" spans="1:9" ht="15" x14ac:dyDescent="0.25">
      <c r="A222" s="1" t="s">
        <v>441</v>
      </c>
      <c r="B222" s="2">
        <f>HYPERLINK("https://www.omim.org/entry/238331",238331)</f>
        <v>238331</v>
      </c>
      <c r="C222" s="3">
        <f>HYPERLINK("https://www.omim.org/entry/246900",246900)</f>
        <v>246900</v>
      </c>
      <c r="I222" s="6" t="s">
        <v>1707</v>
      </c>
    </row>
    <row r="223" spans="1:9" ht="15" x14ac:dyDescent="0.25">
      <c r="A223" s="1" t="s">
        <v>443</v>
      </c>
      <c r="B223" s="2">
        <f>HYPERLINK("https://www.omim.org/entry/300377",300377)</f>
        <v>300377</v>
      </c>
      <c r="C223" s="3">
        <f>HYPERLINK("https://www.omim.org/entry/300376",300376)</f>
        <v>300376</v>
      </c>
      <c r="I223" s="6" t="s">
        <v>1708</v>
      </c>
    </row>
    <row r="224" spans="1:9" ht="15" x14ac:dyDescent="0.25">
      <c r="A224" s="1" t="s">
        <v>445</v>
      </c>
      <c r="B224" s="2">
        <f>HYPERLINK("https://www.omim.org/entry/600980",600980)</f>
        <v>600980</v>
      </c>
      <c r="C224" s="3">
        <f>HYPERLINK("https://www.omim.org/entry/241520",241520)</f>
        <v>241520</v>
      </c>
      <c r="I224" s="6" t="s">
        <v>1709</v>
      </c>
    </row>
    <row r="225" spans="1:9" ht="15" x14ac:dyDescent="0.25">
      <c r="A225" s="1" t="s">
        <v>447</v>
      </c>
      <c r="B225" s="2">
        <f>HYPERLINK("https://www.omim.org/entry/613190",613190)</f>
        <v>613190</v>
      </c>
      <c r="C225" s="3">
        <f>HYPERLINK("https://www.omim.org/entry/613193",613193)</f>
        <v>613193</v>
      </c>
      <c r="I225" s="6" t="s">
        <v>1710</v>
      </c>
    </row>
    <row r="226" spans="1:9" ht="15" x14ac:dyDescent="0.25">
      <c r="A226" s="1" t="s">
        <v>449</v>
      </c>
      <c r="B226" s="2">
        <f>HYPERLINK("https://www.omim.org/entry/614930",614930)</f>
        <v>614930</v>
      </c>
      <c r="C226" s="3">
        <f>HYPERLINK("https://www.omim.org/entry/614935",614935)</f>
        <v>614935</v>
      </c>
      <c r="I226" s="6" t="s">
        <v>1711</v>
      </c>
    </row>
    <row r="227" spans="1:9" ht="15" x14ac:dyDescent="0.25">
      <c r="A227" s="1" t="s">
        <v>451</v>
      </c>
      <c r="B227" s="2">
        <f>HYPERLINK("https://www.omim.org/entry/614677",614677)</f>
        <v>614677</v>
      </c>
      <c r="C227" s="19">
        <f>HYPERLINK("https://www.omim.org/entry/614679",614679)</f>
        <v>614679</v>
      </c>
      <c r="I227" s="6" t="s">
        <v>1712</v>
      </c>
    </row>
    <row r="228" spans="1:9" ht="15" x14ac:dyDescent="0.25">
      <c r="A228" s="1" t="s">
        <v>453</v>
      </c>
      <c r="B228" s="2">
        <f>HYPERLINK("https://www.omim.org/entry/612517",612517)</f>
        <v>612517</v>
      </c>
      <c r="C228" s="3">
        <f>HYPERLINK("https://www.omim.org/entry/612518",612518)</f>
        <v>612518</v>
      </c>
      <c r="I228" s="6" t="s">
        <v>1713</v>
      </c>
    </row>
    <row r="229" spans="1:9" ht="15" x14ac:dyDescent="0.25">
      <c r="A229" s="1" t="s">
        <v>455</v>
      </c>
      <c r="B229" s="2">
        <f>HYPERLINK("https://www.omim.org/entry/614566",614566)</f>
        <v>614566</v>
      </c>
      <c r="C229" s="3">
        <f>HYPERLINK("https://www.omim.org/entry/606763",606763)</f>
        <v>606763</v>
      </c>
      <c r="I229" s="6" t="s">
        <v>1714</v>
      </c>
    </row>
    <row r="230" spans="1:9" ht="15" x14ac:dyDescent="0.25">
      <c r="A230" s="1" t="s">
        <v>457</v>
      </c>
      <c r="B230" s="2">
        <f>HYPERLINK("https://www.omim.org/entry/608706",608706)</f>
        <v>608706</v>
      </c>
      <c r="C230" s="3">
        <f>HYPERLINK("https://www.omim.org/entry/615482",615482)</f>
        <v>615482</v>
      </c>
      <c r="I230" s="6" t="s">
        <v>1715</v>
      </c>
    </row>
    <row r="231" spans="1:9" ht="15" x14ac:dyDescent="0.25">
      <c r="A231" s="1" t="s">
        <v>459</v>
      </c>
      <c r="B231" s="2">
        <f>HYPERLINK("https://www.omim.org/entry/614864",614864)</f>
        <v>614864</v>
      </c>
      <c r="C231" s="3">
        <f>HYPERLINK("https://www.omim.org/entry/614874",614874)</f>
        <v>614874</v>
      </c>
      <c r="I231" s="6" t="s">
        <v>1716</v>
      </c>
    </row>
    <row r="232" spans="1:9" ht="15" x14ac:dyDescent="0.25">
      <c r="A232" s="1" t="s">
        <v>461</v>
      </c>
      <c r="B232" s="2">
        <f>HYPERLINK("https://www.omim.org/entry/603339",603339)</f>
        <v>603339</v>
      </c>
      <c r="C232" s="3">
        <f>HYPERLINK("https://www.omim.org/entry/611884",611884)</f>
        <v>611884</v>
      </c>
      <c r="I232" s="6" t="s">
        <v>1717</v>
      </c>
    </row>
    <row r="233" spans="1:9" ht="15" x14ac:dyDescent="0.25">
      <c r="A233" s="1" t="s">
        <v>463</v>
      </c>
      <c r="B233" s="2">
        <f>HYPERLINK("https://www.omim.org/entry/603335",603335)</f>
        <v>603335</v>
      </c>
      <c r="C233" s="3">
        <f>HYPERLINK("https://www.omim.org/entry/608644",608644)</f>
        <v>608644</v>
      </c>
      <c r="I233" s="6" t="s">
        <v>1718</v>
      </c>
    </row>
    <row r="234" spans="1:9" ht="15" x14ac:dyDescent="0.25">
      <c r="A234" s="1" t="s">
        <v>465</v>
      </c>
      <c r="B234" s="2">
        <f>HYPERLINK("https://www.omim.org/entry/603330",603330)</f>
        <v>603330</v>
      </c>
      <c r="C234" s="3">
        <f>HYPERLINK("https://www.omim.org/entry/618300",618300)</f>
        <v>618300</v>
      </c>
      <c r="I234" s="6" t="s">
        <v>1719</v>
      </c>
    </row>
    <row r="235" spans="1:9" ht="15" x14ac:dyDescent="0.25">
      <c r="A235" s="1" t="s">
        <v>467</v>
      </c>
      <c r="B235" s="2">
        <f>HYPERLINK("https://www.omim.org/entry/604366",604366)</f>
        <v>604366</v>
      </c>
      <c r="C235" s="3">
        <f>HYPERLINK("https://www.omim.org/entry/244400",244400)</f>
        <v>244400</v>
      </c>
      <c r="I235" s="6" t="s">
        <v>1720</v>
      </c>
    </row>
    <row r="236" spans="1:9" ht="15" x14ac:dyDescent="0.25">
      <c r="A236" s="1" t="s">
        <v>469</v>
      </c>
      <c r="B236" s="2">
        <f>HYPERLINK("https://www.omim.org/entry/605483",605483)</f>
        <v>605483</v>
      </c>
      <c r="C236" s="3">
        <f>HYPERLINK("https://www.omim.org/entry/612444",612444)</f>
        <v>612444</v>
      </c>
      <c r="I236" s="6" t="s">
        <v>1721</v>
      </c>
    </row>
    <row r="237" spans="1:9" ht="15" x14ac:dyDescent="0.25">
      <c r="A237" s="1" t="s">
        <v>471</v>
      </c>
      <c r="B237" s="2">
        <f>HYPERLINK("https://www.omim.org/entry/606060",606060)</f>
        <v>606060</v>
      </c>
      <c r="C237" s="3">
        <f>HYPERLINK("https://www.omim.org/entry/617384",617384)</f>
        <v>617384</v>
      </c>
      <c r="I237" s="6" t="s">
        <v>1722</v>
      </c>
    </row>
    <row r="238" spans="1:9" ht="15" x14ac:dyDescent="0.25">
      <c r="A238" s="1" t="s">
        <v>473</v>
      </c>
      <c r="B238" s="2">
        <f>HYPERLINK("https://www.omim.org/entry/617048",617048)</f>
        <v>617048</v>
      </c>
      <c r="C238" s="3">
        <f>HYPERLINK("https://www.omim.org/entry/617052",617052)</f>
        <v>617052</v>
      </c>
      <c r="I238" s="6" t="s">
        <v>1723</v>
      </c>
    </row>
    <row r="239" spans="1:9" ht="15" x14ac:dyDescent="0.25">
      <c r="A239" s="1" t="s">
        <v>475</v>
      </c>
      <c r="B239" s="2">
        <f>HYPERLINK("https://www.omim.org/entry/610062",610062)</f>
        <v>610062</v>
      </c>
      <c r="C239" s="3">
        <f>HYPERLINK("https://www.omim.org/entry/614017",614017)</f>
        <v>614017</v>
      </c>
      <c r="I239" s="6" t="s">
        <v>1724</v>
      </c>
    </row>
    <row r="240" spans="1:9" ht="15" x14ac:dyDescent="0.25">
      <c r="A240" s="1" t="s">
        <v>477</v>
      </c>
      <c r="B240" s="2">
        <f>HYPERLINK("https://www.omim.org/entry/602244",602244)</f>
        <v>602244</v>
      </c>
      <c r="C240" s="3">
        <f>HYPERLINK("https://www.omim.org/entry/614420",614420)</f>
        <v>614420</v>
      </c>
      <c r="I240" s="6" t="s">
        <v>1725</v>
      </c>
    </row>
    <row r="241" spans="1:9" ht="15" x14ac:dyDescent="0.25">
      <c r="A241" s="1" t="s">
        <v>479</v>
      </c>
      <c r="B241" s="2">
        <f>HYPERLINK("https://www.omim.org/entry/602900",602900)</f>
        <v>602900</v>
      </c>
      <c r="C241" s="3">
        <f>HYPERLINK("https://www.omim.org/entry/242860",242860)</f>
        <v>242860</v>
      </c>
      <c r="I241" s="6" t="s">
        <v>1726</v>
      </c>
    </row>
    <row r="242" spans="1:9" ht="15" x14ac:dyDescent="0.25">
      <c r="A242" s="1" t="s">
        <v>481</v>
      </c>
      <c r="B242" s="2">
        <f>HYPERLINK("https://www.omim.org/entry/603122",603122)</f>
        <v>603122</v>
      </c>
      <c r="C242" s="3">
        <f>HYPERLINK("https://www.omim.org/entry/616433",616433)</f>
        <v>616433</v>
      </c>
      <c r="I242" s="6" t="s">
        <v>1727</v>
      </c>
    </row>
    <row r="243" spans="1:9" ht="15" x14ac:dyDescent="0.25">
      <c r="A243" s="1" t="s">
        <v>483</v>
      </c>
      <c r="B243" s="2">
        <f>HYPERLINK("https://www.omim.org/entry/611432",611432)</f>
        <v>611432</v>
      </c>
      <c r="C243" s="3">
        <f>HYPERLINK("https://www.omim.org/entry/243700",243700)</f>
        <v>243700</v>
      </c>
      <c r="I243" s="6" t="s">
        <v>1728</v>
      </c>
    </row>
    <row r="244" spans="1:9" ht="15" x14ac:dyDescent="0.25">
      <c r="A244" s="1" t="s">
        <v>485</v>
      </c>
      <c r="B244" s="2">
        <f>HYPERLINK("https://www.omim.org/entry/610285",610285)</f>
        <v>610285</v>
      </c>
      <c r="C244" s="3">
        <f>HYPERLINK("https://www.omim.org/entry/254300",254300)</f>
        <v>254300</v>
      </c>
      <c r="I244" s="6" t="s">
        <v>1729</v>
      </c>
    </row>
    <row r="245" spans="1:9" ht="15" x14ac:dyDescent="0.25">
      <c r="A245" s="1" t="s">
        <v>487</v>
      </c>
      <c r="B245" s="2">
        <f>HYPERLINK("https://www.omim.org/entry/615288",615288)</f>
        <v>615288</v>
      </c>
      <c r="C245" s="3">
        <f>HYPERLINK("https://www.omim.org/entry/615294",615294)</f>
        <v>615294</v>
      </c>
      <c r="I245" s="6" t="s">
        <v>1730</v>
      </c>
    </row>
    <row r="246" spans="1:9" ht="15" x14ac:dyDescent="0.25">
      <c r="A246" s="1" t="s">
        <v>489</v>
      </c>
      <c r="B246" s="2">
        <f>HYPERLINK("https://www.omim.org/entry/611088",611088)</f>
        <v>611088</v>
      </c>
      <c r="C246" s="19">
        <f>HYPERLINK("https://www.omim.org/entry/615504",615504)</f>
        <v>615504</v>
      </c>
      <c r="I246" s="6" t="s">
        <v>1731</v>
      </c>
    </row>
    <row r="247" spans="1:9" ht="15" x14ac:dyDescent="0.25">
      <c r="A247" s="1" t="s">
        <v>491</v>
      </c>
      <c r="B247" s="2">
        <f>HYPERLINK("https://www.omim.org/entry/605178",605178)</f>
        <v>605178</v>
      </c>
      <c r="C247" s="3">
        <f>HYPERLINK("https://www.omim.org/entry/616726",616726)</f>
        <v>616726</v>
      </c>
      <c r="I247" s="6" t="s">
        <v>1732</v>
      </c>
    </row>
    <row r="248" spans="1:9" ht="15" x14ac:dyDescent="0.25">
      <c r="A248" s="1" t="s">
        <v>493</v>
      </c>
      <c r="B248" s="2">
        <f>HYPERLINK("https://www.omim.org/entry/606759",606759)</f>
        <v>606759</v>
      </c>
      <c r="C248" s="3">
        <f>HYPERLINK("https://www.omim.org/entry/607200",607200)</f>
        <v>607200</v>
      </c>
      <c r="I248" s="6" t="s">
        <v>1733</v>
      </c>
    </row>
    <row r="249" spans="1:9" ht="15" x14ac:dyDescent="0.25">
      <c r="A249" s="1" t="s">
        <v>495</v>
      </c>
      <c r="B249" s="2">
        <f>HYPERLINK("https://www.omim.org/entry/612772",612772)</f>
        <v>612772</v>
      </c>
      <c r="C249" s="3">
        <f>HYPERLINK("https://www.omim.org/entry/274900",274900)</f>
        <v>274900</v>
      </c>
      <c r="I249" s="6" t="s">
        <v>1734</v>
      </c>
    </row>
    <row r="250" spans="1:9" ht="15" x14ac:dyDescent="0.25">
      <c r="A250" s="1" t="s">
        <v>497</v>
      </c>
      <c r="B250" s="2">
        <f>HYPERLINK("https://www.omim.org/entry/300451",300451)</f>
        <v>300451</v>
      </c>
      <c r="C250" s="3">
        <f>HYPERLINK("https://www.omim.org/entry/305100",305100)</f>
        <v>305100</v>
      </c>
      <c r="I250" s="6" t="s">
        <v>1735</v>
      </c>
    </row>
    <row r="251" spans="1:9" ht="15" x14ac:dyDescent="0.25">
      <c r="A251" s="1" t="s">
        <v>499</v>
      </c>
      <c r="B251" s="2">
        <f>HYPERLINK("https://www.omim.org/entry/604095",604095)</f>
        <v>604095</v>
      </c>
      <c r="C251" s="3">
        <f>HYPERLINK("https://www.omim.org/entry/129490",129490)</f>
        <v>129490</v>
      </c>
      <c r="D251" s="15">
        <f>HYPERLINK("https://www.omim.org/entry/224900",224900)</f>
        <v>224900</v>
      </c>
      <c r="I251" s="6" t="s">
        <v>1736</v>
      </c>
    </row>
    <row r="252" spans="1:9" ht="15" x14ac:dyDescent="0.25">
      <c r="A252" s="1" t="s">
        <v>501</v>
      </c>
      <c r="B252" s="2">
        <f>HYPERLINK("https://www.omim.org/entry/606603",606603)</f>
        <v>606603</v>
      </c>
      <c r="C252" s="3">
        <f>HYPERLINK("https://www.omim.org/entry/614941",614941)</f>
        <v>614941</v>
      </c>
      <c r="D252" s="15">
        <f>HYPERLINK("https://www.omim.org/entry/614940",614940)</f>
        <v>614940</v>
      </c>
      <c r="I252" s="6" t="s">
        <v>1737</v>
      </c>
    </row>
    <row r="253" spans="1:9" ht="15" x14ac:dyDescent="0.25">
      <c r="A253" s="1" t="s">
        <v>503</v>
      </c>
      <c r="B253" s="2">
        <f>HYPERLINK("https://www.omim.org/entry/131242",131242)</f>
        <v>131242</v>
      </c>
      <c r="C253" s="3">
        <f>HYPERLINK("https://www.omim.org/entry/613265",613265)</f>
        <v>613265</v>
      </c>
      <c r="D253" s="15">
        <f>HYPERLINK("https://www.omim.org/entry/613712",613712)</f>
        <v>613712</v>
      </c>
      <c r="I253" s="6" t="s">
        <v>1738</v>
      </c>
    </row>
    <row r="254" spans="1:9" ht="15" x14ac:dyDescent="0.25">
      <c r="A254" s="1" t="s">
        <v>505</v>
      </c>
      <c r="B254" s="2">
        <f>HYPERLINK("https://www.omim.org/entry/131244",131244)</f>
        <v>131244</v>
      </c>
      <c r="C254" s="3">
        <f>HYPERLINK("https://www.omim.org/entry/600155",600155)</f>
        <v>600155</v>
      </c>
      <c r="D254" s="15">
        <f>HYPERLINK("https://www.omim.org/entry/600501",600501)</f>
        <v>600501</v>
      </c>
      <c r="E254" s="15">
        <f>HYPERLINK("https://www.omim.org/entry/277580",277580)</f>
        <v>277580</v>
      </c>
      <c r="I254" s="6" t="s">
        <v>1739</v>
      </c>
    </row>
    <row r="255" spans="1:9" ht="15" x14ac:dyDescent="0.25">
      <c r="A255" s="1" t="s">
        <v>507</v>
      </c>
      <c r="B255" s="2">
        <f>HYPERLINK("https://www.omim.org/entry/617538",617538)</f>
        <v>617538</v>
      </c>
      <c r="C255" s="3">
        <f>HYPERLINK("https://www.omim.org/entry/617941",617941)</f>
        <v>617941</v>
      </c>
      <c r="I255" s="6" t="s">
        <v>1740</v>
      </c>
    </row>
    <row r="256" spans="1:9" ht="15" x14ac:dyDescent="0.25">
      <c r="A256" s="1" t="s">
        <v>509</v>
      </c>
      <c r="B256" s="2">
        <f>HYPERLINK("https://www.omim.org/entry/604032",604032)</f>
        <v>604032</v>
      </c>
      <c r="C256" s="3">
        <f>HYPERLINK("https://www.omim.org/entry/226980",226980)</f>
        <v>226980</v>
      </c>
      <c r="I256" s="6" t="s">
        <v>1741</v>
      </c>
    </row>
    <row r="257" spans="1:9" ht="15" x14ac:dyDescent="0.25">
      <c r="A257" s="1" t="s">
        <v>511</v>
      </c>
      <c r="B257" s="2">
        <f>HYPERLINK("https://www.omim.org/entry/130160",130160)</f>
        <v>130160</v>
      </c>
      <c r="C257" s="3">
        <f>HYPERLINK("https://www.omim.org/entry/123700",123700)</f>
        <v>123700</v>
      </c>
      <c r="I257" s="6" t="s">
        <v>1742</v>
      </c>
    </row>
    <row r="258" spans="1:9" ht="15" x14ac:dyDescent="0.25">
      <c r="A258" s="1" t="s">
        <v>513</v>
      </c>
      <c r="B258" s="2">
        <f>HYPERLINK("https://www.omim.org/entry/131195",131195)</f>
        <v>131195</v>
      </c>
      <c r="C258" s="3">
        <f>HYPERLINK("https://www.omim.org/entry/187300",187300)</f>
        <v>187300</v>
      </c>
      <c r="I258" s="6" t="s">
        <v>1743</v>
      </c>
    </row>
    <row r="259" spans="1:9" ht="15" x14ac:dyDescent="0.25">
      <c r="A259" s="1" t="s">
        <v>515</v>
      </c>
      <c r="B259" s="2">
        <f>HYPERLINK("https://www.omim.org/entry/126340",126340)</f>
        <v>126340</v>
      </c>
      <c r="C259" s="3">
        <f>HYPERLINK("https://www.omim.org/entry/278730",278730)</f>
        <v>278730</v>
      </c>
      <c r="I259" s="6" t="s">
        <v>1744</v>
      </c>
    </row>
    <row r="260" spans="1:9" ht="15" x14ac:dyDescent="0.25">
      <c r="A260" s="1" t="s">
        <v>517</v>
      </c>
      <c r="B260" s="2">
        <f>HYPERLINK("https://www.omim.org/entry/133510",133510)</f>
        <v>133510</v>
      </c>
      <c r="C260" s="3">
        <f>HYPERLINK("https://www.omim.org/entry/610651",610651)</f>
        <v>610651</v>
      </c>
      <c r="I260" s="6" t="s">
        <v>1745</v>
      </c>
    </row>
    <row r="261" spans="1:9" ht="15" x14ac:dyDescent="0.25">
      <c r="A261" s="1" t="s">
        <v>519</v>
      </c>
      <c r="B261" s="2">
        <f>HYPERLINK("https://www.omim.org/entry/133520",133520)</f>
        <v>133520</v>
      </c>
      <c r="C261" s="3">
        <f>HYPERLINK("https://www.omim.org/entry/278760",278760)</f>
        <v>278760</v>
      </c>
      <c r="D261" s="15">
        <f>HYPERLINK("https://www.omim.org/entry/615272",615272)</f>
        <v>615272</v>
      </c>
      <c r="I261" s="6" t="s">
        <v>1746</v>
      </c>
    </row>
    <row r="262" spans="1:9" ht="15" x14ac:dyDescent="0.25">
      <c r="A262" s="1" t="s">
        <v>521</v>
      </c>
      <c r="B262" s="2">
        <f>HYPERLINK("https://www.omim.org/entry/133530",133530)</f>
        <v>133530</v>
      </c>
      <c r="C262" s="3">
        <f>HYPERLINK("https://www.omim.org/entry/278780",278780)</f>
        <v>278780</v>
      </c>
      <c r="I262" s="6" t="s">
        <v>1747</v>
      </c>
    </row>
    <row r="263" spans="1:9" ht="15" x14ac:dyDescent="0.25">
      <c r="A263" s="1" t="s">
        <v>523</v>
      </c>
      <c r="B263" s="2">
        <f>HYPERLINK("https://www.omim.org/entry/606351",606351)</f>
        <v>606351</v>
      </c>
      <c r="C263" s="3">
        <f>HYPERLINK("https://www.omim.org/entry/609006",609006)</f>
        <v>609006</v>
      </c>
      <c r="D263" s="15">
        <f>HYPERLINK("https://www.omim.org/entry/618632",618632)</f>
        <v>618632</v>
      </c>
      <c r="I263" s="6" t="s">
        <v>1748</v>
      </c>
    </row>
    <row r="264" spans="1:9" ht="15" x14ac:dyDescent="0.25">
      <c r="A264" s="1" t="s">
        <v>525</v>
      </c>
      <c r="B264" s="2">
        <f>HYPERLINK("https://www.omim.org/entry/602167",602167)</f>
        <v>602167</v>
      </c>
      <c r="C264" s="3">
        <f>HYPERLINK("https://www.omim.org/entry/608565",608565)</f>
        <v>608565</v>
      </c>
      <c r="I264" s="6" t="s">
        <v>1749</v>
      </c>
    </row>
    <row r="265" spans="1:9" ht="15" x14ac:dyDescent="0.25">
      <c r="A265" s="1" t="s">
        <v>527</v>
      </c>
      <c r="B265" s="2">
        <f>HYPERLINK("https://www.omim.org/entry/608053",608053)</f>
        <v>608053</v>
      </c>
      <c r="C265" s="3">
        <f>HYPERLINK("https://www.omim.org/entry/231680",231680)</f>
        <v>231680</v>
      </c>
      <c r="I265" s="6" t="s">
        <v>1750</v>
      </c>
    </row>
    <row r="266" spans="1:9" ht="15" x14ac:dyDescent="0.25">
      <c r="A266" s="1" t="s">
        <v>529</v>
      </c>
      <c r="B266" s="2">
        <f>HYPERLINK("https://www.omim.org/entry/130410",130410)</f>
        <v>130410</v>
      </c>
      <c r="C266" s="3">
        <f>HYPERLINK("https://www.omim.org/entry/231680",231680)</f>
        <v>231680</v>
      </c>
      <c r="I266" s="6" t="s">
        <v>1751</v>
      </c>
    </row>
    <row r="267" spans="1:9" ht="15" x14ac:dyDescent="0.25">
      <c r="A267" s="17" t="s">
        <v>531</v>
      </c>
      <c r="B267" s="2">
        <f>HYPERLINK("https://www.omim.org/entry/231675",231675)</f>
        <v>231675</v>
      </c>
      <c r="C267" s="3">
        <f>HYPERLINK("https://www.omim.org/entry/231680",231680)</f>
        <v>231680</v>
      </c>
      <c r="I267" s="6" t="s">
        <v>1752</v>
      </c>
    </row>
    <row r="268" spans="1:9" ht="15" x14ac:dyDescent="0.25">
      <c r="A268" s="1" t="s">
        <v>533</v>
      </c>
      <c r="B268" s="2">
        <f>HYPERLINK("https://www.omim.org/entry/613872",613872)</f>
        <v>613872</v>
      </c>
      <c r="C268" s="3">
        <f>HYPERLINK("https://www.omim.org/entry/227600",227600)</f>
        <v>227600</v>
      </c>
      <c r="I268" s="6" t="s">
        <v>1753</v>
      </c>
    </row>
    <row r="269" spans="1:9" ht="15" x14ac:dyDescent="0.25">
      <c r="A269" s="1" t="s">
        <v>535</v>
      </c>
      <c r="B269" s="2">
        <f>HYPERLINK("https://www.omim.org/entry/134570",134570)</f>
        <v>134570</v>
      </c>
      <c r="C269" s="3">
        <f>HYPERLINK("https://www.omim.org/entry/613225",613225)</f>
        <v>613225</v>
      </c>
      <c r="I269" s="6" t="s">
        <v>1754</v>
      </c>
    </row>
    <row r="270" spans="1:9" ht="15" x14ac:dyDescent="0.25">
      <c r="A270" s="1" t="s">
        <v>537</v>
      </c>
      <c r="B270" s="2">
        <f>HYPERLINK("https://www.omim.org/entry/134580",134580)</f>
        <v>134580</v>
      </c>
      <c r="C270" s="3">
        <f>HYPERLINK("https://www.omim.org/entry/613235",613235)</f>
        <v>613235</v>
      </c>
      <c r="I270" s="6" t="s">
        <v>1755</v>
      </c>
    </row>
    <row r="271" spans="1:9" ht="15" x14ac:dyDescent="0.25">
      <c r="A271" s="1" t="s">
        <v>539</v>
      </c>
      <c r="B271" s="2">
        <f>HYPERLINK("https://www.omim.org/entry/176930",176930)</f>
        <v>176930</v>
      </c>
      <c r="C271" s="3">
        <f>HYPERLINK("https://www.omim.org/entry/613679",613679)</f>
        <v>613679</v>
      </c>
      <c r="I271" s="6" t="s">
        <v>1756</v>
      </c>
    </row>
    <row r="272" spans="1:9" ht="15" x14ac:dyDescent="0.25">
      <c r="A272" s="1" t="s">
        <v>541</v>
      </c>
      <c r="B272" s="2">
        <f>HYPERLINK("https://www.omim.org/entry/612309",612309)</f>
        <v>612309</v>
      </c>
      <c r="C272" s="3">
        <f>HYPERLINK("https://www.omim.org/entry/188055",188055)</f>
        <v>188055</v>
      </c>
      <c r="D272" s="15">
        <f>HYPERLINK("https://www.omim.org/entry/227400",227400)</f>
        <v>227400</v>
      </c>
      <c r="I272" s="6" t="s">
        <v>1757</v>
      </c>
    </row>
    <row r="273" spans="1:9" ht="15" x14ac:dyDescent="0.25">
      <c r="A273" s="1" t="s">
        <v>543</v>
      </c>
      <c r="B273" s="2">
        <f>HYPERLINK("https://www.omim.org/entry/613878",613878)</f>
        <v>613878</v>
      </c>
      <c r="C273" s="3">
        <f>HYPERLINK("https://www.omim.org/entry/227500",227500)</f>
        <v>227500</v>
      </c>
      <c r="I273" s="6" t="s">
        <v>1758</v>
      </c>
    </row>
    <row r="274" spans="1:9" ht="15" x14ac:dyDescent="0.25">
      <c r="A274" s="1" t="s">
        <v>545</v>
      </c>
      <c r="B274" s="2">
        <f>HYPERLINK("https://www.omim.org/entry/300841",300841)</f>
        <v>300841</v>
      </c>
      <c r="C274" s="3">
        <f>HYPERLINK("https://www.omim.org/entry/306700",306700)</f>
        <v>306700</v>
      </c>
      <c r="I274" s="6" t="s">
        <v>1759</v>
      </c>
    </row>
    <row r="275" spans="1:9" ht="15" x14ac:dyDescent="0.25">
      <c r="A275" s="1" t="s">
        <v>547</v>
      </c>
      <c r="B275" s="2">
        <f>HYPERLINK("https://www.omim.org/entry/300746",300746)</f>
        <v>300746</v>
      </c>
      <c r="C275" s="3">
        <f>HYPERLINK("https://www.omim.org/entry/300807",300807)</f>
        <v>300807</v>
      </c>
      <c r="D275" s="15">
        <f>HYPERLINK("https://www.omim.org/entry/306900",306900)</f>
        <v>306900</v>
      </c>
      <c r="I275" s="6" t="s">
        <v>1760</v>
      </c>
    </row>
    <row r="276" spans="1:9" ht="15" x14ac:dyDescent="0.25">
      <c r="A276" s="17" t="s">
        <v>549</v>
      </c>
      <c r="B276" s="2">
        <f>HYPERLINK("https://www.omim.org/entry/613871",613871)</f>
        <v>613871</v>
      </c>
      <c r="C276" s="3">
        <f>HYPERLINK("https://www.omim.org/entry/276700",276700)</f>
        <v>276700</v>
      </c>
      <c r="I276" s="6" t="s">
        <v>1761</v>
      </c>
    </row>
    <row r="277" spans="1:9" ht="15" x14ac:dyDescent="0.25">
      <c r="A277" s="1" t="s">
        <v>551</v>
      </c>
      <c r="B277" s="2">
        <f>HYPERLINK("https://www.omim.org/entry/615292",615292)</f>
        <v>615292</v>
      </c>
      <c r="C277" s="3">
        <f>HYPERLINK("https://www.omim.org/entry/127000",127000)</f>
        <v>127000</v>
      </c>
      <c r="I277" s="6" t="s">
        <v>1762</v>
      </c>
    </row>
    <row r="278" spans="1:9" ht="15" x14ac:dyDescent="0.25">
      <c r="A278" s="1" t="s">
        <v>553</v>
      </c>
      <c r="B278" s="2">
        <f>HYPERLINK("https://www.omim.org/entry/607139",607139)</f>
        <v>607139</v>
      </c>
      <c r="C278" s="3">
        <f>HYPERLINK("https://www.omim.org/entry/227650",227650)</f>
        <v>227650</v>
      </c>
      <c r="I278" s="6" t="s">
        <v>1763</v>
      </c>
    </row>
    <row r="279" spans="1:9" ht="15" x14ac:dyDescent="0.25">
      <c r="A279" s="1" t="s">
        <v>555</v>
      </c>
      <c r="B279" s="2">
        <f>HYPERLINK("https://www.omim.org/entry/300515",300515)</f>
        <v>300515</v>
      </c>
      <c r="C279" s="3">
        <f>HYPERLINK("https://www.omim.org/entry/300514",300514)</f>
        <v>300514</v>
      </c>
      <c r="I279" s="6" t="s">
        <v>1764</v>
      </c>
    </row>
    <row r="280" spans="1:9" ht="15" x14ac:dyDescent="0.25">
      <c r="A280" s="1" t="s">
        <v>557</v>
      </c>
      <c r="B280" s="2">
        <f>HYPERLINK("https://www.omim.org/entry/613899",613899)</f>
        <v>613899</v>
      </c>
      <c r="C280" s="3">
        <f>HYPERLINK("https://www.omim.org/entry/227645",227645)</f>
        <v>227645</v>
      </c>
      <c r="I280" s="6" t="s">
        <v>1765</v>
      </c>
    </row>
    <row r="281" spans="1:9" ht="15" x14ac:dyDescent="0.25">
      <c r="A281" s="1" t="s">
        <v>559</v>
      </c>
      <c r="B281" s="2">
        <f>HYPERLINK("https://www.omim.org/entry/613984",613984)</f>
        <v>613984</v>
      </c>
      <c r="C281" s="3">
        <f>HYPERLINK("https://www.omim.org/entry/227646",227646)</f>
        <v>227646</v>
      </c>
      <c r="I281" s="6" t="s">
        <v>1766</v>
      </c>
    </row>
    <row r="282" spans="1:9" ht="15" x14ac:dyDescent="0.25">
      <c r="A282" s="1" t="s">
        <v>561</v>
      </c>
      <c r="B282" s="2">
        <f>HYPERLINK("https://www.omim.org/entry/613976",613976)</f>
        <v>613976</v>
      </c>
      <c r="C282" s="3">
        <f>HYPERLINK("https://www.omim.org/entry/600901",600901)</f>
        <v>600901</v>
      </c>
      <c r="I282" s="6" t="s">
        <v>1767</v>
      </c>
    </row>
    <row r="283" spans="1:9" ht="15" x14ac:dyDescent="0.25">
      <c r="A283" s="1" t="s">
        <v>563</v>
      </c>
      <c r="B283" s="2">
        <f>HYPERLINK("https://www.omim.org/entry/613897",613897)</f>
        <v>613897</v>
      </c>
      <c r="C283" s="3">
        <f>HYPERLINK("https://www.omim.org/entry/603467",603467)</f>
        <v>603467</v>
      </c>
      <c r="I283" s="6" t="s">
        <v>1768</v>
      </c>
    </row>
    <row r="284" spans="1:9" ht="15" x14ac:dyDescent="0.25">
      <c r="A284" s="1" t="s">
        <v>565</v>
      </c>
      <c r="B284" s="2">
        <f>HYPERLINK("https://www.omim.org/entry/602956",602956)</f>
        <v>602956</v>
      </c>
      <c r="C284" s="3">
        <f>HYPERLINK("https://www.omim.org/entry/614082",614082)</f>
        <v>614082</v>
      </c>
      <c r="I284" s="6" t="s">
        <v>1769</v>
      </c>
    </row>
    <row r="285" spans="1:9" ht="15" x14ac:dyDescent="0.25">
      <c r="A285" s="1" t="s">
        <v>567</v>
      </c>
      <c r="B285" s="2">
        <f>HYPERLINK("https://www.omim.org/entry/611360",611360)</f>
        <v>611360</v>
      </c>
      <c r="C285" s="3">
        <f>HYPERLINK("https://www.omim.org/entry/609053",609053)</f>
        <v>609053</v>
      </c>
      <c r="I285" s="6" t="s">
        <v>1770</v>
      </c>
    </row>
    <row r="286" spans="1:9" ht="15" x14ac:dyDescent="0.25">
      <c r="A286" s="1" t="s">
        <v>569</v>
      </c>
      <c r="B286" s="2">
        <f>HYPERLINK("https://www.omim.org/entry/608111",608111)</f>
        <v>608111</v>
      </c>
      <c r="C286" s="3">
        <f>HYPERLINK("https://www.omim.org/entry/614083",614083)</f>
        <v>614083</v>
      </c>
      <c r="I286" s="6" t="s">
        <v>1771</v>
      </c>
    </row>
    <row r="287" spans="1:9" ht="15" x14ac:dyDescent="0.25">
      <c r="A287" s="1" t="s">
        <v>571</v>
      </c>
      <c r="B287" s="2">
        <f>HYPERLINK("https://www.omim.org/entry/134797",134797)</f>
        <v>134797</v>
      </c>
      <c r="C287" s="3">
        <f>HYPERLINK("https://www.omim.org/entry/154700",154700)</f>
        <v>154700</v>
      </c>
      <c r="I287" s="6" t="s">
        <v>1772</v>
      </c>
    </row>
    <row r="288" spans="1:9" ht="15" x14ac:dyDescent="0.25">
      <c r="A288" s="1" t="s">
        <v>573</v>
      </c>
      <c r="B288" s="2">
        <f>HYPERLINK("https://www.omim.org/entry/611570",611570)</f>
        <v>611570</v>
      </c>
      <c r="C288" s="3">
        <f>HYPERLINK("https://www.omim.org/entry/229700",229700)</f>
        <v>229700</v>
      </c>
      <c r="I288" s="6" t="s">
        <v>1773</v>
      </c>
    </row>
    <row r="289" spans="1:9" ht="15" x14ac:dyDescent="0.25">
      <c r="A289" s="1" t="s">
        <v>575</v>
      </c>
      <c r="B289" s="2">
        <f>HYPERLINK("https://www.omim.org/entry/613437",613437)</f>
        <v>613437</v>
      </c>
      <c r="C289" s="3">
        <f>HYPERLINK("https://www.omim.org/entry/619164",619164)</f>
        <v>619164</v>
      </c>
      <c r="I289" s="6" t="s">
        <v>1774</v>
      </c>
    </row>
    <row r="290" spans="1:9" ht="15" x14ac:dyDescent="0.25">
      <c r="A290" s="1" t="s">
        <v>577</v>
      </c>
      <c r="B290" s="2">
        <f>HYPERLINK("https://www.omim.org/entry/607901",607901)</f>
        <v>607901</v>
      </c>
      <c r="C290" s="3">
        <f>HYPERLINK("https://www.omim.org/entry/612840",612840)</f>
        <v>612840</v>
      </c>
      <c r="I290" s="6" t="s">
        <v>1775</v>
      </c>
    </row>
    <row r="291" spans="1:9" ht="15" x14ac:dyDescent="0.25">
      <c r="A291" s="1" t="s">
        <v>579</v>
      </c>
      <c r="B291" s="2">
        <f>HYPERLINK("https://www.omim.org/entry/134820",134820)</f>
        <v>134820</v>
      </c>
      <c r="C291" s="3">
        <f>HYPERLINK("https://www.omim.org/entry/202400",202400)</f>
        <v>202400</v>
      </c>
      <c r="I291" s="6" t="s">
        <v>1776</v>
      </c>
    </row>
    <row r="292" spans="1:9" ht="15" x14ac:dyDescent="0.25">
      <c r="A292" s="1" t="s">
        <v>581</v>
      </c>
      <c r="B292" s="2">
        <f>HYPERLINK("https://www.omim.org/entry/134830",134830)</f>
        <v>134830</v>
      </c>
      <c r="C292" s="3">
        <f>HYPERLINK("https://www.omim.org/entry/202400",202400)</f>
        <v>202400</v>
      </c>
      <c r="I292" s="6" t="s">
        <v>1777</v>
      </c>
    </row>
    <row r="293" spans="1:9" ht="15" x14ac:dyDescent="0.25">
      <c r="A293" s="1" t="s">
        <v>583</v>
      </c>
      <c r="B293" s="2">
        <f>HYPERLINK("https://www.omim.org/entry/605380",605380)</f>
        <v>605380</v>
      </c>
      <c r="C293" s="3">
        <f>HYPERLINK("https://www.omim.org/entry/617993",617993)</f>
        <v>617993</v>
      </c>
      <c r="I293" s="6" t="s">
        <v>1778</v>
      </c>
    </row>
    <row r="294" spans="1:9" ht="15" x14ac:dyDescent="0.25">
      <c r="A294" s="1" t="s">
        <v>585</v>
      </c>
      <c r="B294" s="2">
        <f>HYPERLINK("https://www.omim.org/entry/164950",164950)</f>
        <v>164950</v>
      </c>
      <c r="C294" s="3">
        <f>HYPERLINK("https://www.omim.org/entry/610706",610706)</f>
        <v>610706</v>
      </c>
      <c r="I294" s="6" t="s">
        <v>1779</v>
      </c>
    </row>
    <row r="295" spans="1:9" ht="15" x14ac:dyDescent="0.25">
      <c r="A295" s="1" t="s">
        <v>587</v>
      </c>
      <c r="B295" s="2">
        <f>HYPERLINK("https://www.omim.org/entry/134934",134934)</f>
        <v>134934</v>
      </c>
      <c r="C295" s="3">
        <f>HYPERLINK("https://www.omim.org/entry/602849",602849)</f>
        <v>602849</v>
      </c>
      <c r="I295" s="6" t="s">
        <v>1780</v>
      </c>
    </row>
    <row r="296" spans="1:9" ht="15" x14ac:dyDescent="0.25">
      <c r="A296" s="1" t="s">
        <v>589</v>
      </c>
      <c r="B296" s="2">
        <f>HYPERLINK("https://www.omim.org/entry/134850",134850)</f>
        <v>134850</v>
      </c>
      <c r="C296" s="3">
        <f>HYPERLINK("https://www.omim.org/entry/202400",202400)</f>
        <v>202400</v>
      </c>
      <c r="I296" s="6" t="s">
        <v>1781</v>
      </c>
    </row>
    <row r="297" spans="1:9" ht="15" x14ac:dyDescent="0.25">
      <c r="A297" s="1" t="s">
        <v>591</v>
      </c>
      <c r="B297" s="2">
        <f>HYPERLINK("https://www.omim.org/entry/136850",136850)</f>
        <v>136850</v>
      </c>
      <c r="C297" s="3">
        <f>HYPERLINK("https://www.omim.org/entry/606812",606812)</f>
        <v>606812</v>
      </c>
      <c r="I297" s="6" t="s">
        <v>1782</v>
      </c>
    </row>
    <row r="298" spans="1:9" ht="15" x14ac:dyDescent="0.25">
      <c r="A298" s="1" t="s">
        <v>593</v>
      </c>
      <c r="B298" s="2">
        <f>HYPERLINK("https://www.omim.org/entry/610595",610595)</f>
        <v>610595</v>
      </c>
      <c r="C298" s="3">
        <f>HYPERLINK("https://www.omim.org/entry/255100",255100)</f>
        <v>255100</v>
      </c>
      <c r="I298" s="6" t="s">
        <v>1783</v>
      </c>
    </row>
    <row r="299" spans="1:9" ht="15" x14ac:dyDescent="0.25">
      <c r="A299" s="1" t="s">
        <v>595</v>
      </c>
      <c r="B299" s="2">
        <f>HYPERLINK("https://www.omim.org/entry/136430",136430)</f>
        <v>136430</v>
      </c>
      <c r="C299" s="3">
        <f>HYPERLINK("https://www.omim.org/entry/613068",613068)</f>
        <v>613068</v>
      </c>
      <c r="I299" s="6" t="s">
        <v>1784</v>
      </c>
    </row>
    <row r="300" spans="1:9" ht="15" x14ac:dyDescent="0.25">
      <c r="A300" s="1" t="s">
        <v>597</v>
      </c>
      <c r="B300" s="2">
        <f>HYPERLINK("https://www.omim.org/entry/602617",602617)</f>
        <v>602617</v>
      </c>
      <c r="C300" s="3">
        <f>HYPERLINK("https://www.omim.org/entry/241850",241850)</f>
        <v>241850</v>
      </c>
      <c r="I300" s="6" t="s">
        <v>1785</v>
      </c>
    </row>
    <row r="301" spans="1:9" ht="15" x14ac:dyDescent="0.25">
      <c r="A301" s="1" t="s">
        <v>599</v>
      </c>
      <c r="B301" s="2">
        <f>HYPERLINK("https://www.omim.org/entry/602291",602291)</f>
        <v>602291</v>
      </c>
      <c r="C301" s="3">
        <f>HYPERLINK("https://www.omim.org/entry/618699",618699)</f>
        <v>618699</v>
      </c>
      <c r="I301" s="6" t="s">
        <v>1786</v>
      </c>
    </row>
    <row r="302" spans="1:9" ht="15" x14ac:dyDescent="0.25">
      <c r="A302" s="1" t="s">
        <v>601</v>
      </c>
      <c r="B302" s="2">
        <f>HYPERLINK("https://www.omim.org/entry/600838",600838)</f>
        <v>600838</v>
      </c>
      <c r="C302" s="3">
        <f>HYPERLINK("https://www.omim.org/entry/618806",618806)</f>
        <v>618806</v>
      </c>
      <c r="D302" s="15">
        <f>HYPERLINK("https://www.omim.org/entry/601705",601705)</f>
        <v>601705</v>
      </c>
      <c r="I302" s="6" t="s">
        <v>1787</v>
      </c>
    </row>
    <row r="303" spans="1:9" ht="15" x14ac:dyDescent="0.25">
      <c r="A303" s="1" t="s">
        <v>603</v>
      </c>
      <c r="B303" s="2">
        <f>HYPERLINK("https://www.omim.org/entry/300292",300292)</f>
        <v>300292</v>
      </c>
      <c r="C303" s="3">
        <f>HYPERLINK("https://www.omim.org/entry/304790",304790)</f>
        <v>304790</v>
      </c>
      <c r="I303" s="6" t="s">
        <v>1788</v>
      </c>
    </row>
    <row r="304" spans="1:9" ht="15" x14ac:dyDescent="0.25">
      <c r="A304" s="1" t="s">
        <v>605</v>
      </c>
      <c r="B304" s="2">
        <f>HYPERLINK("https://www.omim.org/entry/606806",606806)</f>
        <v>606806</v>
      </c>
      <c r="C304" s="3">
        <f>HYPERLINK("https://www.omim.org/entry/229100",229100)</f>
        <v>229100</v>
      </c>
      <c r="I304" s="6" t="s">
        <v>1789</v>
      </c>
    </row>
    <row r="305" spans="1:9" ht="15" x14ac:dyDescent="0.25">
      <c r="A305" s="1" t="s">
        <v>607</v>
      </c>
      <c r="B305" s="2">
        <f>HYPERLINK("https://www.omim.org/entry/613742",613742)</f>
        <v>613742</v>
      </c>
      <c r="C305" s="3">
        <f>HYPERLINK("https://www.omim.org/entry/232200",232200)</f>
        <v>232200</v>
      </c>
      <c r="I305" s="6" t="s">
        <v>1790</v>
      </c>
    </row>
    <row r="306" spans="1:9" ht="15" x14ac:dyDescent="0.25">
      <c r="A306" s="1" t="s">
        <v>609</v>
      </c>
      <c r="B306" s="2">
        <f>HYPERLINK("https://www.omim.org/entry/611045",611045)</f>
        <v>611045</v>
      </c>
      <c r="C306" s="3">
        <f>HYPERLINK("https://www.omim.org/entry/612541",612541)</f>
        <v>612541</v>
      </c>
      <c r="I306" s="6" t="s">
        <v>1791</v>
      </c>
    </row>
    <row r="307" spans="1:9" ht="15" x14ac:dyDescent="0.25">
      <c r="A307" s="1" t="s">
        <v>611</v>
      </c>
      <c r="B307" s="2">
        <f>HYPERLINK("https://www.omim.org/entry/305900",305900)</f>
        <v>305900</v>
      </c>
      <c r="C307" s="3">
        <f>HYPERLINK("https://www.omim.org/entry/300908",300908)</f>
        <v>300908</v>
      </c>
      <c r="I307" s="6" t="s">
        <v>1792</v>
      </c>
    </row>
    <row r="308" spans="1:9" ht="15" x14ac:dyDescent="0.25">
      <c r="A308" s="1" t="s">
        <v>613</v>
      </c>
      <c r="B308" s="2">
        <f>HYPERLINK("https://www.omim.org/entry/606800",606800)</f>
        <v>606800</v>
      </c>
      <c r="C308" s="3">
        <f>HYPERLINK("https://www.omim.org/entry/232300",232300)</f>
        <v>232300</v>
      </c>
      <c r="I308" s="6" t="s">
        <v>1793</v>
      </c>
    </row>
    <row r="309" spans="1:9" ht="15" x14ac:dyDescent="0.25">
      <c r="A309" s="1" t="s">
        <v>615</v>
      </c>
      <c r="B309" s="2">
        <f>HYPERLINK("https://www.omim.org/entry/606890",606890)</f>
        <v>606890</v>
      </c>
      <c r="C309" s="3">
        <f>HYPERLINK("https://www.omim.org/entry/245200",245200)</f>
        <v>245200</v>
      </c>
      <c r="I309" s="6" t="s">
        <v>1794</v>
      </c>
    </row>
    <row r="310" spans="1:9" ht="15" x14ac:dyDescent="0.25">
      <c r="A310" s="1" t="s">
        <v>617</v>
      </c>
      <c r="B310" s="2">
        <f>HYPERLINK("https://www.omim.org/entry/606953",606953)</f>
        <v>606953</v>
      </c>
      <c r="C310" s="3">
        <f>HYPERLINK("https://www.omim.org/entry/230350",230350)</f>
        <v>230350</v>
      </c>
      <c r="I310" s="6" t="s">
        <v>1795</v>
      </c>
    </row>
    <row r="311" spans="1:9" ht="15" x14ac:dyDescent="0.25">
      <c r="A311" s="1" t="s">
        <v>619</v>
      </c>
      <c r="B311" s="2">
        <f>HYPERLINK("https://www.omim.org/entry/604313",604313)</f>
        <v>604313</v>
      </c>
      <c r="C311" s="3">
        <f>HYPERLINK("https://www.omim.org/entry/230200",230200)</f>
        <v>230200</v>
      </c>
      <c r="I311" s="6" t="s">
        <v>1796</v>
      </c>
    </row>
    <row r="312" spans="1:9" ht="15" x14ac:dyDescent="0.25">
      <c r="A312" s="1" t="s">
        <v>621</v>
      </c>
      <c r="B312" s="2">
        <f>HYPERLINK("https://www.omim.org/entry/137030",137030)</f>
        <v>137030</v>
      </c>
      <c r="C312" s="3">
        <f>HYPERLINK("https://www.omim.org/entry/618881",618881)</f>
        <v>618881</v>
      </c>
      <c r="I312" s="6" t="s">
        <v>1797</v>
      </c>
    </row>
    <row r="313" spans="1:9" ht="15" x14ac:dyDescent="0.25">
      <c r="A313" s="1" t="s">
        <v>623</v>
      </c>
      <c r="B313" s="2">
        <f>HYPERLINK("https://www.omim.org/entry/612222",612222)</f>
        <v>612222</v>
      </c>
      <c r="C313" s="3">
        <f>HYPERLINK("https://www.omim.org/entry/253000",253000)</f>
        <v>253000</v>
      </c>
      <c r="I313" s="6" t="s">
        <v>1798</v>
      </c>
    </row>
    <row r="314" spans="1:9" ht="15" x14ac:dyDescent="0.25">
      <c r="A314" s="1" t="s">
        <v>625</v>
      </c>
      <c r="B314" s="2">
        <f>HYPERLINK("https://www.omim.org/entry/601756",601756)</f>
        <v>601756</v>
      </c>
      <c r="C314" s="3">
        <f>HYPERLINK("https://www.omim.org/entry/211900",211900)</f>
        <v>211900</v>
      </c>
      <c r="I314" s="6" t="s">
        <v>1799</v>
      </c>
    </row>
    <row r="315" spans="1:9" ht="15" x14ac:dyDescent="0.25">
      <c r="A315" s="1" t="s">
        <v>627</v>
      </c>
      <c r="B315" s="2">
        <f>HYPERLINK("https://www.omim.org/entry/606999",606999)</f>
        <v>606999</v>
      </c>
      <c r="C315" s="3">
        <f>HYPERLINK("https://www.omim.org/entry/230400",230400)</f>
        <v>230400</v>
      </c>
      <c r="I315" s="6" t="s">
        <v>1800</v>
      </c>
    </row>
    <row r="316" spans="1:9" ht="15" x14ac:dyDescent="0.25">
      <c r="A316" s="1" t="s">
        <v>629</v>
      </c>
      <c r="B316" s="2">
        <f>HYPERLINK("https://www.omim.org/entry/601240",601240)</f>
        <v>601240</v>
      </c>
      <c r="C316" s="3">
        <f>HYPERLINK("https://www.omim.org/entry/612736",612736)</f>
        <v>612736</v>
      </c>
      <c r="I316" s="6" t="s">
        <v>1801</v>
      </c>
    </row>
    <row r="317" spans="1:9" ht="15" x14ac:dyDescent="0.25">
      <c r="A317" s="1" t="s">
        <v>631</v>
      </c>
      <c r="B317" s="2">
        <f>HYPERLINK("https://www.omim.org/entry/137295",137295)</f>
        <v>137295</v>
      </c>
      <c r="C317" s="3">
        <f>HYPERLINK("https://www.omim.org/entry/614172",614172)</f>
        <v>614172</v>
      </c>
      <c r="I317" s="6" t="s">
        <v>1802</v>
      </c>
    </row>
    <row r="318" spans="1:9" ht="15" x14ac:dyDescent="0.25">
      <c r="A318" s="1" t="s">
        <v>633</v>
      </c>
      <c r="B318" s="2">
        <f>HYPERLINK("https://www.omim.org/entry/602360",602360)</f>
        <v>602360</v>
      </c>
      <c r="C318" s="3">
        <f>HYPERLINK("https://www.omim.org/entry/612718",612718)</f>
        <v>612718</v>
      </c>
      <c r="I318" s="6" t="s">
        <v>1803</v>
      </c>
    </row>
    <row r="319" spans="1:9" ht="15" x14ac:dyDescent="0.25">
      <c r="A319" s="1" t="s">
        <v>635</v>
      </c>
      <c r="B319" s="2">
        <f>HYPERLINK("https://www.omim.org/entry/606463",606463)</f>
        <v>606463</v>
      </c>
      <c r="C319" s="3">
        <f>HYPERLINK("https://www.omim.org/entry/230900",230900)</f>
        <v>230900</v>
      </c>
      <c r="D319" s="15">
        <f>HYPERLINK("https://www.omim.org/entry/231005",231005)</f>
        <v>231005</v>
      </c>
      <c r="E319" s="15">
        <f>HYPERLINK("https://www.omim.org/entry/231000",231000)</f>
        <v>231000</v>
      </c>
      <c r="F319" s="15">
        <f>HYPERLINK("https://www.omim.org/entry/230800",230800)</f>
        <v>230800</v>
      </c>
      <c r="G319" s="15">
        <f>HYPERLINK("https://www.omim.org/entry/608013",608013)</f>
        <v>608013</v>
      </c>
      <c r="I319" s="6" t="s">
        <v>1804</v>
      </c>
    </row>
    <row r="320" spans="1:9" ht="15" x14ac:dyDescent="0.25">
      <c r="A320" s="1" t="s">
        <v>637</v>
      </c>
      <c r="B320" s="2">
        <f>HYPERLINK("https://www.omim.org/entry/608801",608801)</f>
        <v>608801</v>
      </c>
      <c r="C320" s="3">
        <f>HYPERLINK("https://www.omim.org/entry/231670",231670)</f>
        <v>231670</v>
      </c>
      <c r="I320" s="6" t="s">
        <v>1805</v>
      </c>
    </row>
    <row r="321" spans="1:9" ht="15" x14ac:dyDescent="0.25">
      <c r="A321" s="1" t="s">
        <v>639</v>
      </c>
      <c r="B321" s="2">
        <f>HYPERLINK("https://www.omim.org/entry/600225",600225)</f>
        <v>600225</v>
      </c>
      <c r="C321" s="3">
        <f>HYPERLINK("https://www.omim.org/entry/128230",128230)</f>
        <v>128230</v>
      </c>
      <c r="D321" s="15">
        <f>HYPERLINK("https://www.omim.org/entry/233910",233910)</f>
        <v>233910</v>
      </c>
      <c r="I321" s="6" t="s">
        <v>1806</v>
      </c>
    </row>
    <row r="322" spans="1:9" ht="15" x14ac:dyDescent="0.25">
      <c r="A322" s="1" t="s">
        <v>641</v>
      </c>
      <c r="B322" s="2">
        <f>HYPERLINK("https://www.omim.org/entry/138079",138079)</f>
        <v>138079</v>
      </c>
      <c r="C322" s="3">
        <f>HYPERLINK("https://www.omim.org/entry/606176",606176)</f>
        <v>606176</v>
      </c>
      <c r="D322" s="15">
        <f>HYPERLINK("https://www.omim.org/entry/602485",602485)</f>
        <v>602485</v>
      </c>
      <c r="I322" s="6" t="s">
        <v>1807</v>
      </c>
    </row>
    <row r="323" spans="1:9" ht="15" x14ac:dyDescent="0.25">
      <c r="A323" s="1" t="s">
        <v>643</v>
      </c>
      <c r="B323" s="2">
        <f>HYPERLINK("https://www.omim.org/entry/603716",603716)</f>
        <v>603716</v>
      </c>
      <c r="C323" s="3">
        <f>HYPERLINK("https://www.omim.org/entry/618883",618883)</f>
        <v>618883</v>
      </c>
      <c r="I323" s="6" t="s">
        <v>1808</v>
      </c>
    </row>
    <row r="324" spans="1:9" ht="15" x14ac:dyDescent="0.25">
      <c r="A324" s="1" t="s">
        <v>645</v>
      </c>
      <c r="B324" s="2">
        <f>HYPERLINK("https://www.omim.org/entry/137167",137167)</f>
        <v>137167</v>
      </c>
      <c r="C324" s="3">
        <f>HYPERLINK("https://www.omim.org/entry/277450",277450)</f>
        <v>277450</v>
      </c>
      <c r="D324" s="15">
        <f>HYPERLINK("https://www.omim.org/entry/610842",610842)</f>
        <v>610842</v>
      </c>
      <c r="I324" s="6" t="s">
        <v>1809</v>
      </c>
    </row>
    <row r="325" spans="1:9" ht="15" x14ac:dyDescent="0.25">
      <c r="A325" s="1" t="s">
        <v>647</v>
      </c>
      <c r="B325" s="2">
        <f>HYPERLINK("https://www.omim.org/entry/139250",139250)</f>
        <v>139250</v>
      </c>
      <c r="C325" s="3">
        <f>HYPERLINK("https://www.omim.org/entry/173100",173100)</f>
        <v>173100</v>
      </c>
      <c r="D325" s="15">
        <f>HYPERLINK("https://www.omim.org/entry/612781",612781)</f>
        <v>612781</v>
      </c>
      <c r="E325" s="15">
        <f>HYPERLINK("https://www.omim.org/entry/262400",262400)</f>
        <v>262400</v>
      </c>
      <c r="I325" s="6" t="s">
        <v>1810</v>
      </c>
    </row>
    <row r="326" spans="1:9" ht="15" x14ac:dyDescent="0.25">
      <c r="A326" s="1" t="s">
        <v>649</v>
      </c>
      <c r="B326" s="2">
        <f>HYPERLINK("https://www.omim.org/entry/600946",600946)</f>
        <v>600946</v>
      </c>
      <c r="C326" s="3">
        <f>HYPERLINK("https://www.omim.org/entry/604271",604271)</f>
        <v>604271</v>
      </c>
      <c r="I326" s="6" t="s">
        <v>1811</v>
      </c>
    </row>
    <row r="327" spans="1:9" ht="15" x14ac:dyDescent="0.25">
      <c r="A327" s="1" t="s">
        <v>651</v>
      </c>
      <c r="B327" s="2">
        <f>HYPERLINK("https://www.omim.org/entry/139191",139191)</f>
        <v>139191</v>
      </c>
      <c r="C327" s="3">
        <f>HYPERLINK("https://www.omim.org/entry/618157",618157)</f>
        <v>618157</v>
      </c>
      <c r="I327" s="6" t="s">
        <v>1812</v>
      </c>
    </row>
    <row r="328" spans="1:9" ht="15" x14ac:dyDescent="0.25">
      <c r="A328" s="1" t="s">
        <v>653</v>
      </c>
      <c r="B328" s="2">
        <f>HYPERLINK("https://www.omim.org/entry/608792",608792)</f>
        <v>608792</v>
      </c>
      <c r="C328" s="3">
        <f>HYPERLINK("https://www.omim.org/entry/601869",601869)</f>
        <v>601869</v>
      </c>
      <c r="I328" s="6" t="s">
        <v>1813</v>
      </c>
    </row>
    <row r="329" spans="1:9" ht="15" x14ac:dyDescent="0.25">
      <c r="A329" s="1" t="s">
        <v>655</v>
      </c>
      <c r="B329" s="2">
        <f>HYPERLINK("https://www.omim.org/entry/121011",121011)</f>
        <v>121011</v>
      </c>
      <c r="C329" s="3">
        <f>HYPERLINK("https://www.omim.org/entry/220290",220290)</f>
        <v>220290</v>
      </c>
      <c r="D329" s="15">
        <f>HYPERLINK("https://www.omim.org/entry/601544",601544)</f>
        <v>601544</v>
      </c>
      <c r="I329" s="6" t="s">
        <v>1814</v>
      </c>
    </row>
    <row r="330" spans="1:9" ht="15" x14ac:dyDescent="0.25">
      <c r="A330" s="1" t="s">
        <v>657</v>
      </c>
      <c r="B330" s="2">
        <f>HYPERLINK("https://www.omim.org/entry/604418",604418)</f>
        <v>604418</v>
      </c>
      <c r="C330" s="3">
        <f>HYPERLINK("https://www.omim.org/entry/612645",612645)</f>
        <v>612645</v>
      </c>
      <c r="I330" s="6" t="s">
        <v>1815</v>
      </c>
    </row>
    <row r="331" spans="1:9" ht="15" x14ac:dyDescent="0.25">
      <c r="A331" s="1" t="s">
        <v>659</v>
      </c>
      <c r="B331" s="2">
        <f>HYPERLINK("https://www.omim.org/entry/300644",300644)</f>
        <v>300644</v>
      </c>
      <c r="C331" s="3">
        <f>HYPERLINK("https://www.omim.org/entry/301500",301500)</f>
        <v>301500</v>
      </c>
      <c r="I331" s="6" t="s">
        <v>1816</v>
      </c>
    </row>
    <row r="332" spans="1:9" ht="15" x14ac:dyDescent="0.25">
      <c r="A332" s="1" t="s">
        <v>661</v>
      </c>
      <c r="B332" s="2">
        <f>HYPERLINK("https://www.omim.org/entry/610192",610192)</f>
        <v>610192</v>
      </c>
      <c r="C332" s="3">
        <f>HYPERLINK("https://www.omim.org/entry/610199",610199)</f>
        <v>610199</v>
      </c>
      <c r="I332" s="6" t="s">
        <v>1817</v>
      </c>
    </row>
    <row r="333" spans="1:9" ht="15" x14ac:dyDescent="0.25">
      <c r="A333" s="1" t="s">
        <v>663</v>
      </c>
      <c r="B333" s="2">
        <f>HYPERLINK("https://www.omim.org/entry/138130",138130)</f>
        <v>138130</v>
      </c>
      <c r="C333" s="3">
        <f>HYPERLINK("https://www.omim.org/entry/606762",606762)</f>
        <v>606762</v>
      </c>
      <c r="I333" s="6" t="s">
        <v>1818</v>
      </c>
    </row>
    <row r="334" spans="1:9" ht="15" x14ac:dyDescent="0.25">
      <c r="A334" s="1" t="s">
        <v>665</v>
      </c>
      <c r="B334" s="2">
        <f>HYPERLINK("https://www.omim.org/entry/606672",606672)</f>
        <v>606672</v>
      </c>
      <c r="C334" s="3">
        <f>HYPERLINK("https://www.omim.org/entry/231200",231200)</f>
        <v>231200</v>
      </c>
      <c r="D334" s="15">
        <f>HYPERLINK("https://www.omim.org/entry/153670",153670)</f>
        <v>153670</v>
      </c>
      <c r="E334" s="15">
        <f>HYPERLINK("https://www.omim.org/entry/177820",177820)</f>
        <v>177820</v>
      </c>
      <c r="I334" s="6" t="s">
        <v>1819</v>
      </c>
    </row>
    <row r="335" spans="1:9" ht="15" x14ac:dyDescent="0.25">
      <c r="A335" s="1" t="s">
        <v>667</v>
      </c>
      <c r="B335" s="2">
        <f>HYPERLINK("https://www.omim.org/entry/138720",138720)</f>
        <v>138720</v>
      </c>
      <c r="C335" s="3">
        <f>HYPERLINK("https://www.omim.org/entry/231200",231200)</f>
        <v>231200</v>
      </c>
      <c r="I335" s="6" t="s">
        <v>1820</v>
      </c>
    </row>
    <row r="336" spans="1:9" ht="15" x14ac:dyDescent="0.25">
      <c r="A336" s="1" t="s">
        <v>669</v>
      </c>
      <c r="B336" s="2">
        <f>HYPERLINK("https://www.omim.org/entry/173515",173515)</f>
        <v>173515</v>
      </c>
      <c r="C336" s="3">
        <f>HYPERLINK("https://www.omim.org/entry/231200",231200)</f>
        <v>231200</v>
      </c>
      <c r="I336" s="6" t="s">
        <v>1821</v>
      </c>
    </row>
    <row r="337" spans="1:9" ht="15" x14ac:dyDescent="0.25">
      <c r="A337" s="1" t="s">
        <v>671</v>
      </c>
      <c r="B337" s="2">
        <f>HYPERLINK("https://www.omim.org/entry/612757",612757)</f>
        <v>612757</v>
      </c>
      <c r="C337" s="3">
        <f>HYPERLINK("https://www.omim.org/entry/615947",615947)</f>
        <v>615947</v>
      </c>
      <c r="I337" s="6" t="s">
        <v>1822</v>
      </c>
    </row>
    <row r="338" spans="1:9" ht="15" x14ac:dyDescent="0.25">
      <c r="A338" s="1" t="s">
        <v>673</v>
      </c>
      <c r="B338" s="2">
        <f>HYPERLINK("https://www.omim.org/entry/300393",300393)</f>
        <v>300393</v>
      </c>
      <c r="C338" s="3">
        <f>HYPERLINK("https://www.omim.org/entry/300943",300943)</f>
        <v>300943</v>
      </c>
      <c r="I338" s="6" t="s">
        <v>1823</v>
      </c>
    </row>
    <row r="339" spans="1:9" ht="15" x14ac:dyDescent="0.25">
      <c r="A339" s="1" t="s">
        <v>675</v>
      </c>
      <c r="B339" s="2">
        <f>HYPERLINK("https://www.omim.org/entry/609245",609245)</f>
        <v>609245</v>
      </c>
      <c r="C339" s="3">
        <f>HYPERLINK("https://www.omim.org/entry/604213",604213)</f>
        <v>604213</v>
      </c>
      <c r="I339" s="6" t="s">
        <v>1824</v>
      </c>
    </row>
    <row r="340" spans="1:9" ht="15" x14ac:dyDescent="0.25">
      <c r="A340" s="1" t="s">
        <v>677</v>
      </c>
      <c r="B340" s="2">
        <f>HYPERLINK("https://www.omim.org/entry/604296",604296)</f>
        <v>604296</v>
      </c>
      <c r="C340" s="3">
        <f>HYPERLINK("https://www.omim.org/entry/260000",260000)</f>
        <v>260000</v>
      </c>
      <c r="I340" s="6" t="s">
        <v>1825</v>
      </c>
    </row>
    <row r="341" spans="1:9" ht="15" x14ac:dyDescent="0.25">
      <c r="A341" s="1" t="s">
        <v>679</v>
      </c>
      <c r="B341" s="2">
        <f>HYPERLINK("https://www.omim.org/entry/138249",138249)</f>
        <v>138249</v>
      </c>
      <c r="C341" s="3">
        <f>HYPERLINK("https://www.omim.org/entry/617820",617820)</f>
        <v>617820</v>
      </c>
      <c r="D341" s="15">
        <f>HYPERLINK("https://www.omim.org/entry/614254",614254)</f>
        <v>614254</v>
      </c>
      <c r="I341" s="6" t="s">
        <v>1826</v>
      </c>
    </row>
    <row r="342" spans="1:9" ht="15" x14ac:dyDescent="0.25">
      <c r="A342" s="1" t="s">
        <v>681</v>
      </c>
      <c r="B342" s="2">
        <f>HYPERLINK("https://www.omim.org/entry/138253",138253)</f>
        <v>138253</v>
      </c>
      <c r="C342" s="3">
        <f>HYPERLINK("https://www.omim.org/entry/245570",245570)</f>
        <v>245570</v>
      </c>
      <c r="I342" s="6" t="s">
        <v>1827</v>
      </c>
    </row>
    <row r="343" spans="1:9" ht="15" x14ac:dyDescent="0.25">
      <c r="A343" s="1" t="s">
        <v>683</v>
      </c>
      <c r="B343" s="2">
        <f>HYPERLINK("https://www.omim.org/entry/138252",138252)</f>
        <v>138252</v>
      </c>
      <c r="C343" s="3">
        <f>HYPERLINK("https://www.omim.org/entry/613970",613970)</f>
        <v>613970</v>
      </c>
      <c r="I343" s="6" t="s">
        <v>1828</v>
      </c>
    </row>
    <row r="344" spans="1:9" ht="15" x14ac:dyDescent="0.25">
      <c r="A344" s="1" t="s">
        <v>685</v>
      </c>
      <c r="B344" s="2">
        <f>HYPERLINK("https://www.omim.org/entry/602717",602717)</f>
        <v>602717</v>
      </c>
      <c r="C344" s="3">
        <f>HYPERLINK("https://www.omim.org/entry/617162",617162)</f>
        <v>617162</v>
      </c>
      <c r="I344" s="6" t="s">
        <v>1829</v>
      </c>
    </row>
    <row r="345" spans="1:9" ht="15" x14ac:dyDescent="0.25">
      <c r="A345" s="1" t="s">
        <v>687</v>
      </c>
      <c r="B345" s="2">
        <f>HYPERLINK("https://www.omim.org/entry/613283",613283)</f>
        <v>613283</v>
      </c>
      <c r="C345" s="3">
        <f>HYPERLINK("https://www.omim.org/entry/613285",613285)</f>
        <v>613285</v>
      </c>
      <c r="I345" s="6" t="s">
        <v>1830</v>
      </c>
    </row>
    <row r="346" spans="1:9" ht="15" x14ac:dyDescent="0.25">
      <c r="A346" s="1" t="s">
        <v>689</v>
      </c>
      <c r="B346" s="2">
        <f>HYPERLINK("https://www.omim.org/entry/601002",601002)</f>
        <v>601002</v>
      </c>
      <c r="C346" s="3">
        <f>HYPERLINK("https://www.omim.org/entry/266130",266130)</f>
        <v>266130</v>
      </c>
      <c r="I346" s="6" t="s">
        <v>1831</v>
      </c>
    </row>
    <row r="347" spans="1:9" ht="15" x14ac:dyDescent="0.25">
      <c r="A347" s="1" t="s">
        <v>691</v>
      </c>
      <c r="B347" s="2">
        <f>HYPERLINK("https://www.omim.org/entry/611499",611499)</f>
        <v>611499</v>
      </c>
      <c r="C347" s="3">
        <f>HYPERLINK("https://www.omim.org/entry/253220",253220)</f>
        <v>253220</v>
      </c>
      <c r="I347" s="6" t="s">
        <v>1832</v>
      </c>
    </row>
    <row r="348" spans="1:9" ht="15" x14ac:dyDescent="0.25">
      <c r="A348" s="1" t="s">
        <v>693</v>
      </c>
      <c r="B348" s="2">
        <f>HYPERLINK("https://www.omim.org/entry/138571",138571)</f>
        <v>138571</v>
      </c>
      <c r="C348" s="3">
        <f>HYPERLINK("https://www.omim.org/entry/240600",240600)</f>
        <v>240600</v>
      </c>
      <c r="I348" s="6" t="s">
        <v>1833</v>
      </c>
    </row>
    <row r="349" spans="1:9" ht="15" x14ac:dyDescent="0.25">
      <c r="A349" s="1" t="s">
        <v>695</v>
      </c>
      <c r="B349" s="2">
        <f>HYPERLINK("https://www.omim.org/entry/601609",601609)</f>
        <v>601609</v>
      </c>
      <c r="C349" s="3">
        <f>HYPERLINK("https://www.omim.org/entry/609975",609975)</f>
        <v>609975</v>
      </c>
      <c r="D349" s="15">
        <f>HYPERLINK("https://www.omim.org/entry/231530",231530)</f>
        <v>231530</v>
      </c>
      <c r="I349" s="6" t="s">
        <v>1834</v>
      </c>
    </row>
    <row r="350" spans="1:9" ht="15" x14ac:dyDescent="0.25">
      <c r="A350" s="1" t="s">
        <v>697</v>
      </c>
      <c r="B350" s="2">
        <f>HYPERLINK("https://www.omim.org/entry/600890",600890)</f>
        <v>600890</v>
      </c>
      <c r="C350" s="3">
        <f>HYPERLINK("https://www.omim.org/entry/609016",609016)</f>
        <v>609016</v>
      </c>
      <c r="D350" s="15">
        <f>HYPERLINK("https://www.omim.org/entry/609015",609015)</f>
        <v>609015</v>
      </c>
      <c r="I350" s="6" t="s">
        <v>1835</v>
      </c>
    </row>
    <row r="351" spans="1:9" ht="15" x14ac:dyDescent="0.25">
      <c r="A351" s="1" t="s">
        <v>699</v>
      </c>
      <c r="B351" s="2">
        <f>HYPERLINK("https://www.omim.org/entry/143450",143450)</f>
        <v>143450</v>
      </c>
      <c r="C351" s="3">
        <f>HYPERLINK("https://www.omim.org/entry/620300",620300)</f>
        <v>620300</v>
      </c>
      <c r="I351" s="6" t="s">
        <v>1836</v>
      </c>
    </row>
    <row r="352" spans="1:9" ht="15" x14ac:dyDescent="0.25">
      <c r="A352" s="1" t="s">
        <v>701</v>
      </c>
      <c r="B352" s="2">
        <f>HYPERLINK("https://www.omim.org/entry/606464",606464)</f>
        <v>606464</v>
      </c>
      <c r="C352" s="3">
        <f>HYPERLINK("https://www.omim.org/entry/613313",613313)</f>
        <v>613313</v>
      </c>
      <c r="I352" s="6" t="s">
        <v>1837</v>
      </c>
    </row>
    <row r="353" spans="1:9" ht="15" x14ac:dyDescent="0.25">
      <c r="A353" s="1" t="s">
        <v>703</v>
      </c>
      <c r="B353" s="2">
        <f>HYPERLINK("https://www.omim.org/entry/600783",600783)</f>
        <v>600783</v>
      </c>
      <c r="C353" s="3">
        <f>HYPERLINK("https://www.omim.org/entry/614926",614926)</f>
        <v>614926</v>
      </c>
      <c r="I353" s="6" t="s">
        <v>1838</v>
      </c>
    </row>
    <row r="354" spans="1:9" ht="15" x14ac:dyDescent="0.25">
      <c r="A354" s="1" t="s">
        <v>705</v>
      </c>
      <c r="B354" s="2">
        <f>HYPERLINK("https://www.omim.org/entry/606652",606652)</f>
        <v>606652</v>
      </c>
      <c r="C354" s="3">
        <f>HYPERLINK("https://www.omim.org/entry/618398",618398)</f>
        <v>618398</v>
      </c>
      <c r="I354" s="6" t="s">
        <v>1839</v>
      </c>
    </row>
    <row r="355" spans="1:9" ht="15" x14ac:dyDescent="0.25">
      <c r="A355" s="1" t="s">
        <v>707</v>
      </c>
      <c r="B355" s="2">
        <f>HYPERLINK("https://www.omim.org/entry/605998",605998)</f>
        <v>605998</v>
      </c>
      <c r="C355" s="3">
        <f>HYPERLINK("https://www.omim.org/entry/610738",610738)</f>
        <v>610738</v>
      </c>
      <c r="I355" s="6" t="s">
        <v>1840</v>
      </c>
    </row>
    <row r="356" spans="1:9" ht="15" x14ac:dyDescent="0.25">
      <c r="A356" s="1" t="s">
        <v>709</v>
      </c>
      <c r="B356" s="21">
        <f>HYPERLINK("https://www.omim.org/entry/141800",141800)</f>
        <v>141800</v>
      </c>
      <c r="C356" s="22">
        <v>613978</v>
      </c>
      <c r="D356" s="23">
        <v>604131</v>
      </c>
      <c r="I356" s="6" t="s">
        <v>1841</v>
      </c>
    </row>
    <row r="357" spans="1:9" ht="15" x14ac:dyDescent="0.25">
      <c r="A357" s="1" t="s">
        <v>711</v>
      </c>
      <c r="B357" s="21">
        <f>HYPERLINK("https://www.omim.org/entry/141850",141850)</f>
        <v>141850</v>
      </c>
      <c r="C357" s="22">
        <v>613978</v>
      </c>
      <c r="D357" s="23">
        <v>604131</v>
      </c>
      <c r="I357" s="6" t="s">
        <v>1842</v>
      </c>
    </row>
    <row r="358" spans="1:9" ht="15" x14ac:dyDescent="0.25">
      <c r="A358" s="1" t="s">
        <v>713</v>
      </c>
      <c r="B358" s="2">
        <f>HYPERLINK("https://www.omim.org/entry/141900",141900)</f>
        <v>141900</v>
      </c>
      <c r="C358" s="3">
        <f>HYPERLINK("https://www.omim.org/entry/603903",603903)</f>
        <v>603903</v>
      </c>
      <c r="D358" s="15">
        <f>HYPERLINK("https://www.omim.org/entry/613985",613985)</f>
        <v>613985</v>
      </c>
      <c r="I358" s="6" t="s">
        <v>1843</v>
      </c>
    </row>
    <row r="359" spans="1:9" ht="15" x14ac:dyDescent="0.25">
      <c r="A359" s="1" t="s">
        <v>715</v>
      </c>
      <c r="B359" s="2">
        <f>HYPERLINK("https://www.omim.org/entry/300019",300019)</f>
        <v>300019</v>
      </c>
      <c r="C359" s="3">
        <f>HYPERLINK("https://www.omim.org/entry/309541",309541)</f>
        <v>309541</v>
      </c>
      <c r="I359" s="6" t="s">
        <v>1844</v>
      </c>
    </row>
    <row r="360" spans="1:9" ht="15" x14ac:dyDescent="0.25">
      <c r="A360" s="1" t="s">
        <v>717</v>
      </c>
      <c r="B360" s="2">
        <f>HYPERLINK("https://www.omim.org/entry/603946",603946)</f>
        <v>603946</v>
      </c>
      <c r="C360" s="3">
        <f>HYPERLINK("https://www.omim.org/entry/616911",616911)</f>
        <v>616911</v>
      </c>
      <c r="I360" s="6" t="s">
        <v>1845</v>
      </c>
    </row>
    <row r="361" spans="1:9" ht="15" x14ac:dyDescent="0.25">
      <c r="A361" s="1" t="s">
        <v>719</v>
      </c>
      <c r="B361" s="2">
        <f>HYPERLINK("https://www.omim.org/entry/601802",601802)</f>
        <v>601802</v>
      </c>
      <c r="C361" s="3">
        <f>HYPERLINK("https://www.omim.org/entry/182230",182230)</f>
        <v>182230</v>
      </c>
      <c r="I361" s="6" t="s">
        <v>1846</v>
      </c>
    </row>
    <row r="362" spans="1:9" ht="15" x14ac:dyDescent="0.25">
      <c r="A362" s="1" t="s">
        <v>721</v>
      </c>
      <c r="B362" s="2">
        <f>HYPERLINK("https://www.omim.org/entry/607474",607474)</f>
        <v>607474</v>
      </c>
      <c r="C362" s="3">
        <f>HYPERLINK("https://www.omim.org/entry/203500",203500)</f>
        <v>203500</v>
      </c>
      <c r="I362" s="6" t="s">
        <v>1847</v>
      </c>
    </row>
    <row r="363" spans="1:9" ht="15" x14ac:dyDescent="0.25">
      <c r="A363" s="1" t="s">
        <v>723</v>
      </c>
      <c r="B363" s="2">
        <f>HYPERLINK("https://www.omim.org/entry/142409",142409)</f>
        <v>142409</v>
      </c>
      <c r="C363" s="3">
        <f>HYPERLINK("https://www.omim.org/entry/608265",608265)</f>
        <v>608265</v>
      </c>
      <c r="I363" s="6" t="s">
        <v>1848</v>
      </c>
    </row>
    <row r="364" spans="1:9" ht="15" x14ac:dyDescent="0.25">
      <c r="A364" s="1" t="s">
        <v>725</v>
      </c>
      <c r="B364" s="2">
        <f>HYPERLINK("https://www.omim.org/entry/610690",610690)</f>
        <v>610690</v>
      </c>
      <c r="C364" s="3">
        <f>HYPERLINK("https://www.omim.org/entry/250620",250620)</f>
        <v>250620</v>
      </c>
      <c r="I364" s="6" t="s">
        <v>726</v>
      </c>
    </row>
    <row r="365" spans="1:9" ht="15" x14ac:dyDescent="0.25">
      <c r="A365" s="1" t="s">
        <v>727</v>
      </c>
      <c r="B365" s="2">
        <f>HYPERLINK("https://www.omim.org/entry/609018",609018)</f>
        <v>609018</v>
      </c>
      <c r="C365" s="3">
        <f>HYPERLINK("https://www.omim.org/entry/253270",253270)</f>
        <v>253270</v>
      </c>
      <c r="I365" s="6" t="s">
        <v>1849</v>
      </c>
    </row>
    <row r="366" spans="1:9" ht="15" x14ac:dyDescent="0.25">
      <c r="A366" s="1" t="s">
        <v>729</v>
      </c>
      <c r="B366" s="2">
        <f>HYPERLINK("https://www.omim.org/entry/609806",609806)</f>
        <v>609806</v>
      </c>
      <c r="C366" s="3">
        <f>HYPERLINK("https://www.omim.org/entry/620711",620711)</f>
        <v>620711</v>
      </c>
      <c r="D366" s="15">
        <f>HYPERLINK("https://www.omim.org/entry/620704",620704)</f>
        <v>620704</v>
      </c>
      <c r="E366" s="15">
        <f>HYPERLINK("https://www.omim.org/entry/176000",176000)</f>
        <v>176000</v>
      </c>
      <c r="I366" s="6" t="s">
        <v>1850</v>
      </c>
    </row>
    <row r="367" spans="1:9" ht="15" x14ac:dyDescent="0.25">
      <c r="A367" s="1" t="s">
        <v>731</v>
      </c>
      <c r="B367" s="2">
        <f>HYPERLINK("https://www.omim.org/entry/613898",613898)</f>
        <v>613898</v>
      </c>
      <c r="C367" s="3">
        <f>HYPERLINK("https://www.omim.org/entry/246450",246450)</f>
        <v>246450</v>
      </c>
      <c r="I367" s="6" t="s">
        <v>1851</v>
      </c>
    </row>
    <row r="368" spans="1:9" ht="15" x14ac:dyDescent="0.25">
      <c r="A368" s="1" t="s">
        <v>733</v>
      </c>
      <c r="B368" s="2">
        <f>HYPERLINK("https://www.omim.org/entry/600234",600234)</f>
        <v>600234</v>
      </c>
      <c r="C368" s="3">
        <f>HYPERLINK("https://www.omim.org/entry/605911",605911)</f>
        <v>605911</v>
      </c>
      <c r="I368" s="6" t="s">
        <v>1852</v>
      </c>
    </row>
    <row r="369" spans="1:9" ht="15" x14ac:dyDescent="0.25">
      <c r="A369" s="1" t="s">
        <v>735</v>
      </c>
      <c r="B369" s="2">
        <f>HYPERLINK("https://www.omim.org/entry/142410",142410)</f>
        <v>142410</v>
      </c>
      <c r="C369" s="3">
        <f>HYPERLINK("https://www.omim.org/entry/222100",222100)</f>
        <v>222100</v>
      </c>
      <c r="I369" s="6" t="s">
        <v>1853</v>
      </c>
    </row>
    <row r="370" spans="1:9" ht="15" x14ac:dyDescent="0.25">
      <c r="A370" s="1" t="s">
        <v>737</v>
      </c>
      <c r="B370" s="2">
        <f>HYPERLINK("https://www.omim.org/entry/189907",189907)</f>
        <v>189907</v>
      </c>
      <c r="C370" s="3">
        <f>HYPERLINK("https://www.omim.org/entry/137920",137920)</f>
        <v>137920</v>
      </c>
      <c r="I370" s="6" t="s">
        <v>1854</v>
      </c>
    </row>
    <row r="371" spans="1:9" ht="15" x14ac:dyDescent="0.25">
      <c r="A371" s="1" t="s">
        <v>739</v>
      </c>
      <c r="B371" s="2">
        <f>HYPERLINK("https://www.omim.org/entry/600281",600281)</f>
        <v>600281</v>
      </c>
      <c r="C371" s="3">
        <f>HYPERLINK("https://www.omim.org/entry/616026",616026)</f>
        <v>616026</v>
      </c>
      <c r="I371" s="6" t="s">
        <v>1855</v>
      </c>
    </row>
    <row r="372" spans="1:9" ht="15" x14ac:dyDescent="0.25">
      <c r="A372" s="1" t="s">
        <v>741</v>
      </c>
      <c r="B372" s="2">
        <f>HYPERLINK("https://www.omim.org/entry/613597",613597)</f>
        <v>613597</v>
      </c>
      <c r="C372" s="3">
        <f>HYPERLINK("https://www.omim.org/entry/613616",613616)</f>
        <v>613616</v>
      </c>
      <c r="I372" s="6" t="s">
        <v>1856</v>
      </c>
    </row>
    <row r="373" spans="1:9" ht="15" x14ac:dyDescent="0.25">
      <c r="A373" s="1" t="s">
        <v>743</v>
      </c>
      <c r="B373" s="2">
        <f>HYPERLINK("https://www.omim.org/entry/609695",609695)</f>
        <v>609695</v>
      </c>
      <c r="C373" s="3">
        <f>HYPERLINK("https://www.omim.org/entry/276710",276710)</f>
        <v>276710</v>
      </c>
      <c r="I373" s="6" t="s">
        <v>1857</v>
      </c>
    </row>
    <row r="374" spans="1:9" ht="15" x14ac:dyDescent="0.25">
      <c r="A374" s="1" t="s">
        <v>745</v>
      </c>
      <c r="B374" s="2">
        <f>HYPERLINK("https://www.omim.org/entry/308000",308000)</f>
        <v>308000</v>
      </c>
      <c r="C374" s="3">
        <f>HYPERLINK("https://www.omim.org/entry/300323",300323)</f>
        <v>300323</v>
      </c>
      <c r="I374" s="6" t="s">
        <v>1858</v>
      </c>
    </row>
    <row r="375" spans="1:9" ht="15" x14ac:dyDescent="0.25">
      <c r="A375" s="1" t="s">
        <v>747</v>
      </c>
      <c r="B375" s="2">
        <f>HYPERLINK("https://www.omim.org/entry/614232",614232)</f>
        <v>614232</v>
      </c>
      <c r="C375" s="3">
        <f>HYPERLINK("https://www.omim.org/entry/218030",218030)</f>
        <v>218030</v>
      </c>
      <c r="I375" s="6" t="s">
        <v>1859</v>
      </c>
    </row>
    <row r="376" spans="1:9" ht="15" x14ac:dyDescent="0.25">
      <c r="A376" s="1" t="s">
        <v>749</v>
      </c>
      <c r="B376" s="2">
        <f>HYPERLINK("https://www.omim.org/entry/613890",613890)</f>
        <v>613890</v>
      </c>
      <c r="C376" s="3">
        <f>HYPERLINK("https://www.omim.org/entry/201810",201810)</f>
        <v>201810</v>
      </c>
      <c r="I376" s="6" t="s">
        <v>1860</v>
      </c>
    </row>
    <row r="377" spans="1:9" ht="15" x14ac:dyDescent="0.25">
      <c r="A377" s="1" t="s">
        <v>751</v>
      </c>
      <c r="B377" s="2">
        <f>HYPERLINK("https://www.omim.org/entry/607764",607764)</f>
        <v>607764</v>
      </c>
      <c r="C377" s="3">
        <f>HYPERLINK("https://www.omim.org/entry/607765",607765)</f>
        <v>607765</v>
      </c>
      <c r="I377" s="6" t="s">
        <v>1861</v>
      </c>
    </row>
    <row r="378" spans="1:9" ht="15" x14ac:dyDescent="0.25">
      <c r="A378" s="1" t="s">
        <v>753</v>
      </c>
      <c r="B378" s="2">
        <f>HYPERLINK("https://www.omim.org/entry/610812",610812)</f>
        <v>610812</v>
      </c>
      <c r="C378" s="3">
        <f>HYPERLINK("https://www.omim.org/entry/608647",608647)</f>
        <v>608647</v>
      </c>
      <c r="I378" s="6" t="s">
        <v>1862</v>
      </c>
    </row>
    <row r="379" spans="1:9" ht="15" x14ac:dyDescent="0.25">
      <c r="A379" s="1" t="s">
        <v>755</v>
      </c>
      <c r="B379" s="2">
        <f>HYPERLINK("https://www.omim.org/entry/147650",147650)</f>
        <v>147650</v>
      </c>
      <c r="C379" s="3">
        <f>HYPERLINK("https://www.omim.org/entry/613657",613657)</f>
        <v>613657</v>
      </c>
      <c r="I379" s="6" t="s">
        <v>1863</v>
      </c>
    </row>
    <row r="380" spans="1:9" ht="15" x14ac:dyDescent="0.25">
      <c r="A380" s="1" t="s">
        <v>757</v>
      </c>
      <c r="B380" s="2">
        <f>HYPERLINK("https://www.omim.org/entry/300823",300823)</f>
        <v>300823</v>
      </c>
      <c r="C380" s="3">
        <f>HYPERLINK("https://www.omim.org/entry/309900",309900)</f>
        <v>309900</v>
      </c>
      <c r="I380" s="6" t="s">
        <v>1864</v>
      </c>
    </row>
    <row r="381" spans="1:9" ht="15" x14ac:dyDescent="0.25">
      <c r="A381" s="1" t="s">
        <v>759</v>
      </c>
      <c r="B381" s="2">
        <f>HYPERLINK("https://www.omim.org/entry/252800",252800)</f>
        <v>252800</v>
      </c>
      <c r="C381" s="3">
        <f>HYPERLINK("https://www.omim.org/entry/607016",607016)</f>
        <v>607016</v>
      </c>
      <c r="D381" s="15">
        <f>HYPERLINK("https://www.omim.org/entry/607015",607015)</f>
        <v>607015</v>
      </c>
      <c r="E381" s="15">
        <f>HYPERLINK("https://www.omim.org/entry/607014",607014)</f>
        <v>607014</v>
      </c>
      <c r="I381" s="6" t="s">
        <v>1865</v>
      </c>
    </row>
    <row r="382" spans="1:9" ht="15" x14ac:dyDescent="0.25">
      <c r="A382" s="1" t="s">
        <v>761</v>
      </c>
      <c r="B382" s="2">
        <f>HYPERLINK("https://www.omim.org/entry/614757",614757)</f>
        <v>614757</v>
      </c>
      <c r="C382" s="3">
        <f>HYPERLINK("https://www.omim.org/entry/610967",610967)</f>
        <v>610967</v>
      </c>
      <c r="I382" s="6" t="s">
        <v>1866</v>
      </c>
    </row>
    <row r="383" spans="1:9" ht="15" x14ac:dyDescent="0.25">
      <c r="A383" s="1" t="s">
        <v>763</v>
      </c>
      <c r="B383" s="2">
        <f>HYPERLINK("https://www.omim.org/entry/107470",107470)</f>
        <v>107470</v>
      </c>
      <c r="C383" s="3">
        <f>HYPERLINK("https://www.omim.org/entry/209950",209950)</f>
        <v>209950</v>
      </c>
      <c r="D383" s="15">
        <f>HYPERLINK("https://www.omim.org/entry/615978",615978)</f>
        <v>615978</v>
      </c>
      <c r="I383" s="6" t="s">
        <v>1867</v>
      </c>
    </row>
    <row r="384" spans="1:9" ht="15" x14ac:dyDescent="0.25">
      <c r="A384" s="1" t="s">
        <v>765</v>
      </c>
      <c r="B384" s="2">
        <f>HYPERLINK("https://www.omim.org/entry/147569",147569)</f>
        <v>147569</v>
      </c>
      <c r="C384" s="3">
        <f>HYPERLINK("https://www.omim.org/entry/614889",614889)</f>
        <v>614889</v>
      </c>
      <c r="I384" s="6" t="s">
        <v>1868</v>
      </c>
    </row>
    <row r="385" spans="1:9" ht="15" x14ac:dyDescent="0.25">
      <c r="A385" s="1" t="s">
        <v>767</v>
      </c>
      <c r="B385" s="2">
        <f>HYPERLINK("https://www.omim.org/entry/147440",147440)</f>
        <v>147440</v>
      </c>
      <c r="C385" s="3">
        <f>HYPERLINK("https://www.omim.org/entry/608747",608747)</f>
        <v>608747</v>
      </c>
      <c r="I385" s="6" t="s">
        <v>1869</v>
      </c>
    </row>
    <row r="386" spans="1:9" ht="15" x14ac:dyDescent="0.25">
      <c r="A386" s="1" t="s">
        <v>769</v>
      </c>
      <c r="B386" s="2">
        <f>HYPERLINK("https://www.omim.org/entry/146770",146770)</f>
        <v>146770</v>
      </c>
      <c r="C386" s="3">
        <f>HYPERLINK("https://www.omim.org/entry/613500",613500)</f>
        <v>613500</v>
      </c>
      <c r="I386" s="6" t="s">
        <v>770</v>
      </c>
    </row>
    <row r="387" spans="1:9" ht="15" x14ac:dyDescent="0.25">
      <c r="A387" s="1" t="s">
        <v>771</v>
      </c>
      <c r="B387" s="2">
        <f>HYPERLINK("https://www.omim.org/entry/300137",300137)</f>
        <v>300137</v>
      </c>
      <c r="C387" s="3">
        <f>HYPERLINK("https://www.omim.org/entry/300888",300888)</f>
        <v>300888</v>
      </c>
      <c r="I387" s="6" t="s">
        <v>1870</v>
      </c>
    </row>
    <row r="388" spans="1:9" ht="15" x14ac:dyDescent="0.25">
      <c r="A388" s="1" t="s">
        <v>773</v>
      </c>
      <c r="B388" s="2">
        <f>HYPERLINK("https://www.omim.org/entry/603258",603258)</f>
        <v>603258</v>
      </c>
      <c r="C388" s="3">
        <f>HYPERLINK("https://www.omim.org/entry/615592",615592)</f>
        <v>615592</v>
      </c>
      <c r="D388" s="15">
        <f>HYPERLINK("https://www.omim.org/entry/618204",618204)</f>
        <v>618204</v>
      </c>
      <c r="I388" s="6" t="s">
        <v>1871</v>
      </c>
    </row>
    <row r="389" spans="1:9" ht="15" x14ac:dyDescent="0.25">
      <c r="A389" s="1" t="s">
        <v>775</v>
      </c>
      <c r="B389" s="2">
        <f>HYPERLINK("https://www.omim.org/entry/300248",300248)</f>
        <v>300248</v>
      </c>
      <c r="C389" s="3">
        <f>HYPERLINK("https://www.omim.org/entry/300636",300636)</f>
        <v>300636</v>
      </c>
      <c r="I389" s="6" t="s">
        <v>1872</v>
      </c>
    </row>
    <row r="390" spans="1:9" ht="15" x14ac:dyDescent="0.25">
      <c r="A390" s="1" t="s">
        <v>777</v>
      </c>
      <c r="B390" s="2">
        <f>HYPERLINK("https://www.omim.org/entry/146933",146933)</f>
        <v>146933</v>
      </c>
      <c r="C390" s="3">
        <f>HYPERLINK("https://www.omim.org/entry/613148",613148)</f>
        <v>613148</v>
      </c>
      <c r="I390" s="6" t="s">
        <v>1873</v>
      </c>
    </row>
    <row r="391" spans="1:9" ht="15" x14ac:dyDescent="0.25">
      <c r="A391" s="1" t="s">
        <v>779</v>
      </c>
      <c r="B391" s="2">
        <f>HYPERLINK("https://www.omim.org/entry/123889",123889)</f>
        <v>123889</v>
      </c>
      <c r="C391" s="3">
        <f>HYPERLINK("https://www.omim.org/entry/612567",612567)</f>
        <v>612567</v>
      </c>
      <c r="I391" s="6" t="s">
        <v>1874</v>
      </c>
    </row>
    <row r="392" spans="1:9" ht="15" x14ac:dyDescent="0.25">
      <c r="A392" s="1" t="s">
        <v>781</v>
      </c>
      <c r="B392" s="2">
        <f>HYPERLINK("https://www.omim.org/entry/605383",605383)</f>
        <v>605383</v>
      </c>
      <c r="C392" s="3">
        <f>HYPERLINK("https://www.omim.org/entry/615207",615207)</f>
        <v>615207</v>
      </c>
      <c r="I392" s="6" t="s">
        <v>1875</v>
      </c>
    </row>
    <row r="393" spans="1:9" ht="15" x14ac:dyDescent="0.25">
      <c r="A393" s="1" t="s">
        <v>783</v>
      </c>
      <c r="B393" s="2">
        <f>HYPERLINK("https://www.omim.org/entry/147730",147730)</f>
        <v>147730</v>
      </c>
      <c r="C393" s="3">
        <f>HYPERLINK("https://www.omim.org/entry/606367",606367)</f>
        <v>606367</v>
      </c>
      <c r="I393" s="6" t="s">
        <v>1876</v>
      </c>
    </row>
    <row r="394" spans="1:9" ht="15" x14ac:dyDescent="0.25">
      <c r="A394" s="1" t="s">
        <v>785</v>
      </c>
      <c r="B394" s="2">
        <f>HYPERLINK("https://www.omim.org/entry/146710",146710)</f>
        <v>146710</v>
      </c>
      <c r="C394" s="3">
        <f>HYPERLINK("https://www.omim.org/entry/618495",618495)</f>
        <v>618495</v>
      </c>
      <c r="I394" s="6" t="s">
        <v>1877</v>
      </c>
    </row>
    <row r="395" spans="1:9" ht="15" x14ac:dyDescent="0.25">
      <c r="A395" s="1" t="s">
        <v>787</v>
      </c>
      <c r="B395" s="2">
        <f>HYPERLINK("https://www.omim.org/entry/308380",308380)</f>
        <v>308380</v>
      </c>
      <c r="C395" s="3">
        <f>HYPERLINK("https://www.omim.org/entry/300400",300400)</f>
        <v>300400</v>
      </c>
      <c r="I395" s="6" t="s">
        <v>1878</v>
      </c>
    </row>
    <row r="396" spans="1:9" ht="15" x14ac:dyDescent="0.25">
      <c r="A396" s="1" t="s">
        <v>789</v>
      </c>
      <c r="B396" s="2">
        <f>HYPERLINK("https://www.omim.org/entry/146661",146661)</f>
        <v>146661</v>
      </c>
      <c r="C396" s="3">
        <f>HYPERLINK("https://www.omim.org/entry/608971",608971)</f>
        <v>608971</v>
      </c>
      <c r="I396" s="6" t="s">
        <v>1879</v>
      </c>
    </row>
    <row r="397" spans="1:9" ht="15" x14ac:dyDescent="0.25">
      <c r="A397" s="1" t="s">
        <v>791</v>
      </c>
      <c r="B397" s="2">
        <f>HYPERLINK("https://www.omim.org/entry/609739",609739)</f>
        <v>609739</v>
      </c>
      <c r="C397" s="3">
        <f>HYPERLINK("https://www.omim.org/entry/609646",609646)</f>
        <v>609646</v>
      </c>
      <c r="I397" s="6" t="s">
        <v>1880</v>
      </c>
    </row>
    <row r="398" spans="1:9" ht="15" x14ac:dyDescent="0.25">
      <c r="A398" s="1" t="s">
        <v>793</v>
      </c>
      <c r="B398" s="2">
        <f>HYPERLINK("https://www.omim.org/entry/176730",176730)</f>
        <v>176730</v>
      </c>
      <c r="C398" s="3">
        <f>HYPERLINK("https://www.omim.org/entry/618858",618858)</f>
        <v>618858</v>
      </c>
      <c r="I398" s="6" t="s">
        <v>1881</v>
      </c>
    </row>
    <row r="399" spans="1:9" ht="15" x14ac:dyDescent="0.25">
      <c r="A399" s="17" t="s">
        <v>795</v>
      </c>
      <c r="B399" s="2">
        <f>HYPERLINK("https://www.omim.org/entry/606883",606883)</f>
        <v>606883</v>
      </c>
      <c r="C399" s="3">
        <f>HYPERLINK("https://www.omim.org/entry/607676",607676)</f>
        <v>607676</v>
      </c>
      <c r="I399" s="6" t="s">
        <v>1882</v>
      </c>
    </row>
    <row r="400" spans="1:9" ht="15" x14ac:dyDescent="0.25">
      <c r="A400" s="1" t="s">
        <v>797</v>
      </c>
      <c r="B400" s="2">
        <f>HYPERLINK("https://www.omim.org/entry/601565",601565)</f>
        <v>601565</v>
      </c>
      <c r="C400" s="3">
        <f>HYPERLINK("https://www.omim.org/entry/226990",226990)</f>
        <v>226990</v>
      </c>
      <c r="I400" s="6" t="s">
        <v>1883</v>
      </c>
    </row>
    <row r="401" spans="1:9" ht="15" x14ac:dyDescent="0.25">
      <c r="A401" s="17" t="s">
        <v>799</v>
      </c>
      <c r="B401" s="2">
        <f>HYPERLINK("https://www.omim.org/entry/300904",300904)</f>
        <v>300904</v>
      </c>
      <c r="C401" s="3">
        <f>HYPERLINK("https://www.omim.org/entry/301035",301035)</f>
        <v>301035</v>
      </c>
      <c r="I401" s="6" t="s">
        <v>1884</v>
      </c>
    </row>
    <row r="402" spans="1:9" ht="15" x14ac:dyDescent="0.25">
      <c r="A402" s="17" t="s">
        <v>801</v>
      </c>
      <c r="B402" s="2">
        <f>HYPERLINK("https://www.omim.org/entry/607759",607759)</f>
        <v>607759</v>
      </c>
      <c r="C402" s="3">
        <f>HYPERLINK("https://www.omim.org/entry/273800",273800)</f>
        <v>273800</v>
      </c>
      <c r="D402" s="15">
        <f>HYPERLINK("https://www.omim.org/entry/187800",187800)</f>
        <v>187800</v>
      </c>
      <c r="I402" s="6" t="s">
        <v>1885</v>
      </c>
    </row>
    <row r="403" spans="1:9" ht="15" x14ac:dyDescent="0.25">
      <c r="A403" s="1" t="s">
        <v>803</v>
      </c>
      <c r="B403" s="2">
        <f>HYPERLINK("https://www.omim.org/entry/600065",600065)</f>
        <v>600065</v>
      </c>
      <c r="C403" s="3">
        <f>HYPERLINK("https://www.omim.org/entry/116920",116920)</f>
        <v>116920</v>
      </c>
      <c r="I403" s="6" t="s">
        <v>1886</v>
      </c>
    </row>
    <row r="404" spans="1:9" ht="15" x14ac:dyDescent="0.25">
      <c r="A404" s="1" t="s">
        <v>805</v>
      </c>
      <c r="B404" s="2">
        <f>HYPERLINK("https://www.omim.org/entry/173470",173470)</f>
        <v>173470</v>
      </c>
      <c r="C404" s="3">
        <f>HYPERLINK("https://www.omim.org/entry/619271",619271)</f>
        <v>619271</v>
      </c>
      <c r="D404" s="15">
        <f>HYPERLINK("https://www.omim.org/entry/619267",619267)</f>
        <v>619267</v>
      </c>
      <c r="I404" s="6" t="s">
        <v>1887</v>
      </c>
    </row>
    <row r="405" spans="1:9" ht="15" x14ac:dyDescent="0.25">
      <c r="A405" s="1" t="s">
        <v>807</v>
      </c>
      <c r="B405" s="2">
        <f>HYPERLINK("https://www.omim.org/entry/186973",186973)</f>
        <v>186973</v>
      </c>
      <c r="C405" s="3">
        <f>HYPERLINK("https://www.omim.org/entry/613011",613011)</f>
        <v>613011</v>
      </c>
      <c r="I405" s="6" t="s">
        <v>1888</v>
      </c>
    </row>
    <row r="406" spans="1:9" ht="15" x14ac:dyDescent="0.25">
      <c r="A406" s="1" t="s">
        <v>809</v>
      </c>
      <c r="B406" s="2">
        <f>HYPERLINK("https://www.omim.org/entry/607036",607036)</f>
        <v>607036</v>
      </c>
      <c r="C406" s="3">
        <f>HYPERLINK("https://www.omim.org/entry/243500",243500)</f>
        <v>243500</v>
      </c>
      <c r="I406" s="6" t="s">
        <v>1889</v>
      </c>
    </row>
    <row r="407" spans="1:9" ht="15" x14ac:dyDescent="0.25">
      <c r="A407" s="1" t="s">
        <v>811</v>
      </c>
      <c r="B407" s="2">
        <f>HYPERLINK("https://www.omim.org/entry/612025",612025)</f>
        <v>612025</v>
      </c>
      <c r="C407" s="3">
        <f>HYPERLINK("https://www.omim.org/entry/274800",274800)</f>
        <v>274800</v>
      </c>
      <c r="I407" s="6" t="s">
        <v>1890</v>
      </c>
    </row>
    <row r="408" spans="1:9" ht="15" x14ac:dyDescent="0.25">
      <c r="A408" s="1" t="s">
        <v>813</v>
      </c>
      <c r="B408" s="2">
        <f>HYPERLINK("https://www.omim.org/entry/600173",600173)</f>
        <v>600173</v>
      </c>
      <c r="C408" s="3">
        <f>HYPERLINK("https://www.omim.org/entry/600802",600802)</f>
        <v>600802</v>
      </c>
      <c r="I408" s="6" t="s">
        <v>1891</v>
      </c>
    </row>
    <row r="409" spans="1:9" ht="15" x14ac:dyDescent="0.25">
      <c r="A409" s="1" t="s">
        <v>815</v>
      </c>
      <c r="B409" s="2">
        <f>HYPERLINK("https://www.omim.org/entry/152427",152427)</f>
        <v>152427</v>
      </c>
      <c r="C409" s="3">
        <f>HYPERLINK("https://www.omim.org/entry/609620",609620)</f>
        <v>609620</v>
      </c>
      <c r="I409" s="6" t="s">
        <v>1892</v>
      </c>
    </row>
    <row r="410" spans="1:9" ht="15" x14ac:dyDescent="0.25">
      <c r="A410" s="1" t="s">
        <v>817</v>
      </c>
      <c r="B410" s="2">
        <f>HYPERLINK("https://www.omim.org/entry/600359",600359)</f>
        <v>600359</v>
      </c>
      <c r="C410" s="3">
        <f>HYPERLINK("https://www.omim.org/entry/241200",241200)</f>
        <v>241200</v>
      </c>
      <c r="I410" s="6" t="s">
        <v>1893</v>
      </c>
    </row>
    <row r="411" spans="1:9" ht="15" x14ac:dyDescent="0.25">
      <c r="A411" s="1" t="s">
        <v>819</v>
      </c>
      <c r="B411" s="2">
        <f>HYPERLINK("https://www.omim.org/entry/602208",602208)</f>
        <v>602208</v>
      </c>
      <c r="C411" s="3">
        <f>HYPERLINK("https://www.omim.org/entry/612780",612780)</f>
        <v>612780</v>
      </c>
      <c r="I411" s="6" t="s">
        <v>1894</v>
      </c>
    </row>
    <row r="412" spans="1:9" ht="15" x14ac:dyDescent="0.25">
      <c r="A412" s="1" t="s">
        <v>821</v>
      </c>
      <c r="B412" s="2">
        <f>HYPERLINK("https://www.omim.org/entry/600937",600937)</f>
        <v>600937</v>
      </c>
      <c r="C412" s="3">
        <f>HYPERLINK("https://www.omim.org/entry/618856",618856)</f>
        <v>618856</v>
      </c>
      <c r="D412" s="15">
        <f>HYPERLINK("https://www.omim.org/entry/616329",616329)</f>
        <v>616329</v>
      </c>
      <c r="E412" s="15">
        <f>HYPERLINK("https://www.omim.org/entry/610582",610582)</f>
        <v>610582</v>
      </c>
      <c r="F412" s="15">
        <f>HYPERLINK("https://www.omim.org/entry/601820",601820)</f>
        <v>601820</v>
      </c>
      <c r="I412" s="6" t="s">
        <v>1895</v>
      </c>
    </row>
    <row r="413" spans="1:9" ht="15" x14ac:dyDescent="0.25">
      <c r="A413" s="1" t="s">
        <v>823</v>
      </c>
      <c r="B413" s="2">
        <f>HYPERLINK("https://www.omim.org/entry/600681",600681)</f>
        <v>600681</v>
      </c>
      <c r="C413" s="3">
        <f>HYPERLINK("https://www.omim.org/entry/609622",609622)</f>
        <v>609622</v>
      </c>
      <c r="I413" s="6" t="s">
        <v>1896</v>
      </c>
    </row>
    <row r="414" spans="1:9" ht="15" x14ac:dyDescent="0.25">
      <c r="A414" s="1" t="s">
        <v>825</v>
      </c>
      <c r="B414" s="2">
        <f>HYPERLINK("https://www.omim.org/entry/607542",607542)</f>
        <v>607542</v>
      </c>
      <c r="C414" s="3">
        <f>HYPERLINK("https://www.omim.org/entry/192500",192500)</f>
        <v>192500</v>
      </c>
      <c r="D414" s="15">
        <f>HYPERLINK("https://www.omim.org/entry/220400",220400)</f>
        <v>220400</v>
      </c>
      <c r="I414" s="6" t="s">
        <v>1897</v>
      </c>
    </row>
    <row r="415" spans="1:9" ht="15" x14ac:dyDescent="0.25">
      <c r="A415" s="1" t="s">
        <v>827</v>
      </c>
      <c r="B415" s="2">
        <f>HYPERLINK("https://www.omim.org/entry/602235",602235)</f>
        <v>602235</v>
      </c>
      <c r="C415" s="3">
        <f>HYPERLINK("https://www.omim.org/entry/613720",613720)</f>
        <v>613720</v>
      </c>
      <c r="I415" s="6" t="s">
        <v>1898</v>
      </c>
    </row>
    <row r="416" spans="1:9" ht="15" x14ac:dyDescent="0.25">
      <c r="A416" s="1" t="s">
        <v>829</v>
      </c>
      <c r="B416" s="2">
        <f>HYPERLINK("https://www.omim.org/entry/605775",605775)</f>
        <v>605775</v>
      </c>
      <c r="C416" s="3">
        <f>HYPERLINK("https://www.omim.org/entry/614495",614495)</f>
        <v>614495</v>
      </c>
      <c r="I416" s="6" t="s">
        <v>1899</v>
      </c>
    </row>
    <row r="417" spans="1:9" ht="15" x14ac:dyDescent="0.25">
      <c r="A417" s="1" t="s">
        <v>831</v>
      </c>
      <c r="B417" s="2">
        <f>HYPERLINK("https://www.omim.org/entry/190070",190070)</f>
        <v>190070</v>
      </c>
      <c r="C417" s="3">
        <f>HYPERLINK("https://www.omim.org/entry/609942",609942)</f>
        <v>609942</v>
      </c>
      <c r="I417" s="6" t="s">
        <v>1900</v>
      </c>
    </row>
    <row r="418" spans="1:9" ht="15" x14ac:dyDescent="0.25">
      <c r="A418" s="1" t="s">
        <v>833</v>
      </c>
      <c r="B418" s="2">
        <f>HYPERLINK("https://www.omim.org/entry/309060",309060)</f>
        <v>309060</v>
      </c>
      <c r="C418" s="3">
        <f>HYPERLINK("https://www.omim.org/entry/300257",300257)</f>
        <v>300257</v>
      </c>
      <c r="I418" s="6" t="s">
        <v>1901</v>
      </c>
    </row>
    <row r="419" spans="1:9" ht="15" x14ac:dyDescent="0.25">
      <c r="A419" s="1" t="s">
        <v>835</v>
      </c>
      <c r="B419" s="2">
        <f>HYPERLINK("https://www.omim.org/entry/602354",602354)</f>
        <v>602354</v>
      </c>
      <c r="C419" s="3">
        <f>HYPERLINK("https://www.omim.org/entry/617514",617514)</f>
        <v>617514</v>
      </c>
      <c r="I419" s="6" t="s">
        <v>1902</v>
      </c>
    </row>
    <row r="420" spans="1:9" ht="15" x14ac:dyDescent="0.25">
      <c r="A420" s="1" t="s">
        <v>837</v>
      </c>
      <c r="B420" s="2">
        <f>HYPERLINK("https://www.omim.org/entry/153390",153390)</f>
        <v>153390</v>
      </c>
      <c r="C420" s="3">
        <f>HYPERLINK("https://www.omim.org/entry/615758",615758)</f>
        <v>615758</v>
      </c>
      <c r="I420" s="6" t="s">
        <v>1903</v>
      </c>
    </row>
    <row r="421" spans="1:9" ht="15" x14ac:dyDescent="0.25">
      <c r="A421" s="1" t="s">
        <v>839</v>
      </c>
      <c r="B421" s="2">
        <f>HYPERLINK("https://www.omim.org/entry/606945",606945)</f>
        <v>606945</v>
      </c>
      <c r="C421" s="3">
        <f>HYPERLINK("https://www.omim.org/entry/143890",143890)</f>
        <v>143890</v>
      </c>
      <c r="I421" s="6" t="s">
        <v>1904</v>
      </c>
    </row>
    <row r="422" spans="1:9" ht="15" x14ac:dyDescent="0.25">
      <c r="A422" s="17" t="s">
        <v>841</v>
      </c>
      <c r="B422" s="2">
        <f>HYPERLINK("https://www.omim.org/entry/605747",605747)</f>
        <v>605747</v>
      </c>
      <c r="C422" s="3">
        <f>HYPERLINK("https://www.omim.org/entry/603813",603813)</f>
        <v>603813</v>
      </c>
      <c r="I422" s="6" t="s">
        <v>1905</v>
      </c>
    </row>
    <row r="423" spans="1:9" ht="15" x14ac:dyDescent="0.25">
      <c r="A423" s="1" t="s">
        <v>843</v>
      </c>
      <c r="B423" s="2">
        <f>HYPERLINK("https://www.omim.org/entry/164160",164160)</f>
        <v>164160</v>
      </c>
      <c r="C423" s="3">
        <f>HYPERLINK("https://www.omim.org/entry/614962",614962)</f>
        <v>614962</v>
      </c>
      <c r="I423" s="6" t="s">
        <v>1906</v>
      </c>
    </row>
    <row r="424" spans="1:9" ht="15" x14ac:dyDescent="0.25">
      <c r="A424" s="1" t="s">
        <v>845</v>
      </c>
      <c r="B424" s="2">
        <f>HYPERLINK("https://www.omim.org/entry/601007",601007)</f>
        <v>601007</v>
      </c>
      <c r="C424" s="3">
        <f>HYPERLINK("https://www.omim.org/entry/614963",614963)</f>
        <v>614963</v>
      </c>
      <c r="I424" s="6" t="s">
        <v>1907</v>
      </c>
    </row>
    <row r="425" spans="1:9" ht="15" x14ac:dyDescent="0.25">
      <c r="A425" s="1" t="s">
        <v>847</v>
      </c>
      <c r="B425" s="2">
        <f>HYPERLINK("https://www.omim.org/entry/609427",609427)</f>
        <v>609427</v>
      </c>
      <c r="C425" s="3">
        <f>HYPERLINK("https://www.omim.org/entry/610265",610265)</f>
        <v>610265</v>
      </c>
      <c r="I425" s="6" t="s">
        <v>1908</v>
      </c>
    </row>
    <row r="426" spans="1:9" ht="15" x14ac:dyDescent="0.25">
      <c r="A426" s="1" t="s">
        <v>849</v>
      </c>
      <c r="B426" s="2">
        <f>HYPERLINK("https://www.omim.org/entry/600577",600577)</f>
        <v>600577</v>
      </c>
      <c r="C426" s="3">
        <f>HYPERLINK("https://www.omim.org/entry/221750",221750)</f>
        <v>221750</v>
      </c>
      <c r="I426" s="6" t="s">
        <v>1909</v>
      </c>
    </row>
    <row r="427" spans="1:9" ht="15" x14ac:dyDescent="0.25">
      <c r="A427" s="1" t="s">
        <v>851</v>
      </c>
      <c r="B427" s="2">
        <f>HYPERLINK("https://www.omim.org/entry/602146",602146)</f>
        <v>602146</v>
      </c>
      <c r="C427" s="3">
        <f>HYPERLINK("https://www.omim.org/entry/262700",262700)</f>
        <v>262700</v>
      </c>
      <c r="I427" s="6" t="s">
        <v>1910</v>
      </c>
    </row>
    <row r="428" spans="1:9" ht="15" x14ac:dyDescent="0.25">
      <c r="A428" s="1" t="s">
        <v>853</v>
      </c>
      <c r="B428" s="2">
        <f>HYPERLINK("https://www.omim.org/entry/126391",126391)</f>
        <v>126391</v>
      </c>
      <c r="C428" s="3">
        <f>HYPERLINK("https://www.omim.org/entry/619774",619774)</f>
        <v>619774</v>
      </c>
      <c r="I428" s="6" t="s">
        <v>1911</v>
      </c>
    </row>
    <row r="429" spans="1:9" ht="15" x14ac:dyDescent="0.25">
      <c r="A429" s="1" t="s">
        <v>855</v>
      </c>
      <c r="B429" s="2">
        <f>HYPERLINK("https://www.omim.org/entry/601837",601837)</f>
        <v>601837</v>
      </c>
      <c r="C429" s="3">
        <f>HYPERLINK("https://www.omim.org/entry/606593",606593)</f>
        <v>606593</v>
      </c>
      <c r="I429" s="6" t="s">
        <v>1912</v>
      </c>
    </row>
    <row r="430" spans="1:9" ht="15" x14ac:dyDescent="0.25">
      <c r="A430" s="1" t="s">
        <v>857</v>
      </c>
      <c r="B430" s="2">
        <f>HYPERLINK("https://www.omim.org/entry/613497",613497)</f>
        <v>613497</v>
      </c>
      <c r="C430" s="3">
        <f>HYPERLINK("https://www.omim.org/entry/620151",620151)</f>
        <v>620151</v>
      </c>
      <c r="D430" s="15">
        <f>HYPERLINK("https://www.omim.org/entry/278000",278000)</f>
        <v>278000</v>
      </c>
      <c r="I430" s="6" t="s">
        <v>1913</v>
      </c>
    </row>
    <row r="431" spans="1:9" ht="15" x14ac:dyDescent="0.25">
      <c r="A431" s="1" t="s">
        <v>859</v>
      </c>
      <c r="B431" s="2">
        <f>HYPERLINK("https://www.omim.org/entry/612625",612625)</f>
        <v>612625</v>
      </c>
      <c r="C431" s="3">
        <f>HYPERLINK("https://www.omim.org/entry/277380",277380)</f>
        <v>277380</v>
      </c>
      <c r="I431" s="6" t="s">
        <v>1914</v>
      </c>
    </row>
    <row r="432" spans="1:9" ht="15" x14ac:dyDescent="0.25">
      <c r="A432" s="1" t="s">
        <v>861</v>
      </c>
      <c r="B432" s="2">
        <f>HYPERLINK("https://www.omim.org/entry/611761",611761)</f>
        <v>611761</v>
      </c>
      <c r="C432" s="3">
        <f>HYPERLINK("https://www.omim.org/entry/246650",246650)</f>
        <v>246650</v>
      </c>
      <c r="I432" s="6" t="s">
        <v>1915</v>
      </c>
    </row>
    <row r="433" spans="1:9" ht="15" x14ac:dyDescent="0.25">
      <c r="A433" s="1" t="s">
        <v>863</v>
      </c>
      <c r="B433" s="2">
        <f>HYPERLINK("https://www.omim.org/entry/150330",150330)</f>
        <v>150330</v>
      </c>
      <c r="C433" s="3">
        <f>HYPERLINK("https://www.omim.org/entry/619793",619793)</f>
        <v>619793</v>
      </c>
      <c r="D433" s="15">
        <f>HYPERLINK("https://www.omim.org/entry/212112",212112)</f>
        <v>212112</v>
      </c>
      <c r="I433" s="6" t="s">
        <v>1916</v>
      </c>
    </row>
    <row r="434" spans="1:9" ht="15" x14ac:dyDescent="0.25">
      <c r="A434" s="1" t="s">
        <v>865</v>
      </c>
      <c r="B434" s="2">
        <f>HYPERLINK("https://www.omim.org/entry/613072",613072)</f>
        <v>613072</v>
      </c>
      <c r="C434" s="3">
        <f>HYPERLINK("https://www.omim.org/entry/613079",613079)</f>
        <v>613079</v>
      </c>
      <c r="I434" s="6" t="s">
        <v>1917</v>
      </c>
    </row>
    <row r="435" spans="1:9" ht="15" x14ac:dyDescent="0.25">
      <c r="A435" s="1" t="s">
        <v>867</v>
      </c>
      <c r="B435" s="2">
        <f>HYPERLINK("https://www.omim.org/entry/605518",605518)</f>
        <v>605518</v>
      </c>
      <c r="C435" s="3">
        <f>HYPERLINK("https://www.omim.org/entry/268200",268200)</f>
        <v>268200</v>
      </c>
      <c r="I435" s="6" t="s">
        <v>1918</v>
      </c>
    </row>
    <row r="436" spans="1:9" ht="15" x14ac:dyDescent="0.25">
      <c r="A436" s="1" t="s">
        <v>869</v>
      </c>
      <c r="B436" s="2">
        <f>HYPERLINK("https://www.omim.org/entry/609708",609708)</f>
        <v>609708</v>
      </c>
      <c r="C436" s="3">
        <f>HYPERLINK("https://www.omim.org/entry/238600",238600)</f>
        <v>238600</v>
      </c>
      <c r="I436" s="6" t="s">
        <v>1919</v>
      </c>
    </row>
    <row r="437" spans="1:9" ht="15" x14ac:dyDescent="0.25">
      <c r="A437" s="1" t="s">
        <v>871</v>
      </c>
      <c r="B437" s="2">
        <f>HYPERLINK("https://www.omim.org/entry/603506",603506)</f>
        <v>603506</v>
      </c>
      <c r="C437" s="3">
        <f>HYPERLINK("https://www.omim.org/entry/259770",259770)</f>
        <v>259770</v>
      </c>
      <c r="I437" s="6" t="s">
        <v>1920</v>
      </c>
    </row>
    <row r="438" spans="1:9" ht="15" x14ac:dyDescent="0.25">
      <c r="A438" s="1" t="s">
        <v>873</v>
      </c>
      <c r="B438" s="2">
        <f>HYPERLINK("https://www.omim.org/entry/608360",608360)</f>
        <v>608360</v>
      </c>
      <c r="C438" s="3">
        <f>HYPERLINK("https://www.omim.org/entry/613506",613506)</f>
        <v>613506</v>
      </c>
      <c r="I438" s="6" t="s">
        <v>874</v>
      </c>
    </row>
    <row r="439" spans="1:9" ht="15" x14ac:dyDescent="0.25">
      <c r="A439" s="1" t="s">
        <v>875</v>
      </c>
      <c r="B439" s="2">
        <f>HYPERLINK("https://www.omim.org/entry/612414",612414)</f>
        <v>612414</v>
      </c>
      <c r="C439" s="3">
        <f>HYPERLINK("https://www.omim.org/entry/611451",611451)</f>
        <v>611451</v>
      </c>
      <c r="I439" s="6" t="s">
        <v>1921</v>
      </c>
    </row>
    <row r="440" spans="1:9" ht="15" x14ac:dyDescent="0.25">
      <c r="A440" s="1" t="s">
        <v>877</v>
      </c>
      <c r="B440" s="2">
        <f>HYPERLINK("https://www.omim.org/entry/604710",604710)</f>
        <v>604710</v>
      </c>
      <c r="C440" s="3">
        <f>HYPERLINK("https://www.omim.org/entry/613177",613177)</f>
        <v>613177</v>
      </c>
      <c r="I440" s="6" t="s">
        <v>1922</v>
      </c>
    </row>
    <row r="441" spans="1:9" ht="15" x14ac:dyDescent="0.25">
      <c r="A441" s="1" t="s">
        <v>879</v>
      </c>
      <c r="B441" s="2">
        <f>HYPERLINK("https://www.omim.org/entry/606897",606897)</f>
        <v>606897</v>
      </c>
      <c r="C441" s="3">
        <f>HYPERLINK("https://www.omim.org/entry/214500",214500)</f>
        <v>214500</v>
      </c>
      <c r="I441" s="6" t="s">
        <v>1923</v>
      </c>
    </row>
    <row r="442" spans="1:9" ht="15" x14ac:dyDescent="0.25">
      <c r="A442" s="1" t="s">
        <v>881</v>
      </c>
      <c r="B442" s="2">
        <f>HYPERLINK("https://www.omim.org/entry/600574",600574)</f>
        <v>600574</v>
      </c>
      <c r="C442" s="3">
        <f>HYPERLINK("https://www.omim.org/entry/605275",605275)</f>
        <v>605275</v>
      </c>
      <c r="I442" s="6" t="s">
        <v>1924</v>
      </c>
    </row>
    <row r="443" spans="1:9" ht="15" x14ac:dyDescent="0.25">
      <c r="A443" s="1" t="s">
        <v>883</v>
      </c>
      <c r="B443" s="2">
        <f>HYPERLINK("https://www.omim.org/entry/300470",300470)</f>
        <v>300470</v>
      </c>
      <c r="C443" s="3">
        <f>HYPERLINK("https://www.omim.org/entry/300971",300971)</f>
        <v>300971</v>
      </c>
      <c r="I443" s="6" t="s">
        <v>1925</v>
      </c>
    </row>
    <row r="444" spans="1:9" ht="19.5" customHeight="1" x14ac:dyDescent="0.25">
      <c r="A444" s="1" t="s">
        <v>885</v>
      </c>
      <c r="B444" s="2">
        <f>HYPERLINK("https://www.omim.org/entry/300715",300715)</f>
        <v>300715</v>
      </c>
      <c r="C444" s="3">
        <f>HYPERLINK("https://www.omim.org/entry/300853",300853)</f>
        <v>300853</v>
      </c>
      <c r="I444" s="6" t="s">
        <v>1926</v>
      </c>
    </row>
    <row r="445" spans="1:9" ht="15" x14ac:dyDescent="0.25">
      <c r="A445" s="1" t="s">
        <v>887</v>
      </c>
      <c r="B445" s="2">
        <f>HYPERLINK("https://www.omim.org/entry/609458",609458)</f>
        <v>609458</v>
      </c>
      <c r="C445" s="3">
        <f>HYPERLINK("https://www.omim.org/entry/248500",248500)</f>
        <v>248500</v>
      </c>
      <c r="I445" s="6" t="s">
        <v>1927</v>
      </c>
    </row>
    <row r="446" spans="1:9" ht="15" x14ac:dyDescent="0.25">
      <c r="A446" s="1" t="s">
        <v>889</v>
      </c>
      <c r="B446" s="2">
        <f>HYPERLINK("https://www.omim.org/entry/176872",176872)</f>
        <v>176872</v>
      </c>
      <c r="C446" s="3">
        <f>HYPERLINK("https://www.omim.org/entry/615279",615279)</f>
        <v>615279</v>
      </c>
      <c r="I446" s="6" t="s">
        <v>1928</v>
      </c>
    </row>
    <row r="447" spans="1:9" ht="15" x14ac:dyDescent="0.25">
      <c r="A447" s="1" t="s">
        <v>891</v>
      </c>
      <c r="B447" s="2">
        <f>HYPERLINK("https://www.omim.org/entry/610572",610572)</f>
        <v>610572</v>
      </c>
      <c r="C447" s="3">
        <f>HYPERLINK("https://www.omim.org/entry/610153",610153)</f>
        <v>610153</v>
      </c>
      <c r="I447" s="6" t="s">
        <v>1929</v>
      </c>
    </row>
    <row r="448" spans="1:9" ht="15" x14ac:dyDescent="0.25">
      <c r="A448" s="1" t="s">
        <v>893</v>
      </c>
      <c r="B448" s="2">
        <f>HYPERLINK("https://www.omim.org/entry/607397",607397)</f>
        <v>607397</v>
      </c>
      <c r="C448" s="3">
        <f>HYPERLINK("https://www.omim.org/entry/202200",202200)</f>
        <v>202200</v>
      </c>
      <c r="I448" s="6" t="s">
        <v>1930</v>
      </c>
    </row>
    <row r="449" spans="1:9" ht="15" x14ac:dyDescent="0.25">
      <c r="A449" s="1" t="s">
        <v>895</v>
      </c>
      <c r="B449" s="2">
        <f>HYPERLINK("https://www.omim.org/entry/608419",608419)</f>
        <v>608419</v>
      </c>
      <c r="C449" s="3">
        <f>HYPERLINK("https://www.omim.org/entry/251120",251120)</f>
        <v>251120</v>
      </c>
      <c r="I449" s="6" t="s">
        <v>1931</v>
      </c>
    </row>
    <row r="450" spans="1:9" ht="15" x14ac:dyDescent="0.25">
      <c r="A450" s="1" t="s">
        <v>897</v>
      </c>
      <c r="B450" s="2">
        <f>HYPERLINK("https://www.omim.org/entry/614086",614086)</f>
        <v>614086</v>
      </c>
      <c r="C450" s="3">
        <f>HYPERLINK("https://www.omim.org/entry/618695",618695)</f>
        <v>618695</v>
      </c>
      <c r="I450" s="6" t="s">
        <v>1932</v>
      </c>
    </row>
    <row r="451" spans="1:9" ht="15" x14ac:dyDescent="0.25">
      <c r="A451" s="1" t="s">
        <v>899</v>
      </c>
      <c r="B451" s="2">
        <f>HYPERLINK("https://www.omim.org/entry/602638",602638)</f>
        <v>602638</v>
      </c>
      <c r="C451" s="3">
        <f>HYPERLINK("https://www.omim.org/entry/609981",609981)</f>
        <v>609981</v>
      </c>
      <c r="I451" s="6" t="s">
        <v>1933</v>
      </c>
    </row>
    <row r="452" spans="1:9" ht="15" x14ac:dyDescent="0.25">
      <c r="A452" s="1" t="s">
        <v>901</v>
      </c>
      <c r="B452" s="2">
        <f>HYPERLINK("https://www.omim.org/entry/605248",605248)</f>
        <v>605248</v>
      </c>
      <c r="C452" s="3">
        <f>HYPERLINK("https://www.omim.org/entry/252650",252650)</f>
        <v>252650</v>
      </c>
      <c r="I452" s="6" t="s">
        <v>902</v>
      </c>
    </row>
    <row r="453" spans="1:9" ht="15" x14ac:dyDescent="0.25">
      <c r="A453" s="1" t="s">
        <v>903</v>
      </c>
      <c r="B453" s="2">
        <f>HYPERLINK("https://www.omim.org/entry/156845",156845)</f>
        <v>156845</v>
      </c>
      <c r="C453" s="3">
        <f>HYPERLINK("https://www.omim.org/entry/193510",193510)</f>
        <v>193510</v>
      </c>
      <c r="I453" s="6" t="s">
        <v>1934</v>
      </c>
    </row>
    <row r="454" spans="1:9" ht="15" x14ac:dyDescent="0.25">
      <c r="A454" s="1" t="s">
        <v>905</v>
      </c>
      <c r="B454" s="2">
        <f>HYPERLINK("https://www.omim.org/entry/606761",606761)</f>
        <v>606761</v>
      </c>
      <c r="C454" s="3">
        <f>HYPERLINK("https://www.omim.org/entry/248360",248360)</f>
        <v>248360</v>
      </c>
      <c r="I454" s="6" t="s">
        <v>1935</v>
      </c>
    </row>
    <row r="455" spans="1:9" ht="15" x14ac:dyDescent="0.25">
      <c r="A455" s="1" t="s">
        <v>907</v>
      </c>
      <c r="B455" s="2">
        <f>HYPERLINK("https://www.omim.org/entry/607481",607481)</f>
        <v>607481</v>
      </c>
      <c r="C455" s="3">
        <f>HYPERLINK("https://www.omim.org/entry/251100",251100)</f>
        <v>251100</v>
      </c>
      <c r="I455" s="6" t="s">
        <v>1936</v>
      </c>
    </row>
    <row r="456" spans="1:9" ht="15" x14ac:dyDescent="0.25">
      <c r="A456" s="1" t="s">
        <v>909</v>
      </c>
      <c r="B456" s="2">
        <f>HYPERLINK("https://www.omim.org/entry/607568",607568)</f>
        <v>607568</v>
      </c>
      <c r="C456" s="3">
        <f>HYPERLINK("https://www.omim.org/entry/251110",251110)</f>
        <v>251110</v>
      </c>
      <c r="I456" s="6" t="s">
        <v>1937</v>
      </c>
    </row>
    <row r="457" spans="1:9" ht="15" x14ac:dyDescent="0.25">
      <c r="A457" s="1" t="s">
        <v>911</v>
      </c>
      <c r="B457" s="2">
        <f>HYPERLINK("https://www.omim.org/entry/609831",609831)</f>
        <v>609831</v>
      </c>
      <c r="C457" s="3">
        <f>HYPERLINK("https://www.omim.org/entry/277400",277400)</f>
        <v>277400</v>
      </c>
      <c r="I457" s="6" t="s">
        <v>1938</v>
      </c>
    </row>
    <row r="458" spans="1:9" ht="15" x14ac:dyDescent="0.25">
      <c r="A458" s="1" t="s">
        <v>913</v>
      </c>
      <c r="B458" s="2">
        <f>HYPERLINK("https://www.omim.org/entry/611935",611935)</f>
        <v>611935</v>
      </c>
      <c r="C458" s="3">
        <f>HYPERLINK("https://www.omim.org/entry/277410",277410)</f>
        <v>277410</v>
      </c>
      <c r="D458" s="15">
        <f>HYPERLINK("https://www.omim.org/entry/620953",620953)</f>
        <v>620953</v>
      </c>
      <c r="E458" s="15">
        <f>HYPERLINK("https://www.omim.org/entry/620952",620952)</f>
        <v>620952</v>
      </c>
      <c r="I458" s="6" t="s">
        <v>1939</v>
      </c>
    </row>
    <row r="459" spans="1:9" ht="15" x14ac:dyDescent="0.25">
      <c r="A459" s="1" t="s">
        <v>915</v>
      </c>
      <c r="B459" s="2">
        <f>HYPERLINK("https://www.omim.org/entry/609058",609058)</f>
        <v>609058</v>
      </c>
      <c r="C459" s="3">
        <f>HYPERLINK("https://www.omim.org/entry/251000",251000)</f>
        <v>251000</v>
      </c>
      <c r="I459" s="6" t="s">
        <v>1940</v>
      </c>
    </row>
    <row r="460" spans="1:9" ht="15" x14ac:dyDescent="0.25">
      <c r="A460" s="1" t="s">
        <v>917</v>
      </c>
      <c r="B460" s="2">
        <f>HYPERLINK("https://www.omim.org/entry/603707",603707)</f>
        <v>603707</v>
      </c>
      <c r="C460" s="3">
        <f>HYPERLINK("https://www.omim.org/entry/252150",252150)</f>
        <v>252150</v>
      </c>
      <c r="I460" s="6" t="s">
        <v>1941</v>
      </c>
    </row>
    <row r="461" spans="1:9" ht="15" x14ac:dyDescent="0.25">
      <c r="A461" s="1" t="s">
        <v>919</v>
      </c>
      <c r="B461" s="2">
        <f>HYPERLINK("https://www.omim.org/entry/603708",603708)</f>
        <v>603708</v>
      </c>
      <c r="C461" s="3">
        <f>HYPERLINK("https://www.omim.org/entry/252160",252160)</f>
        <v>252160</v>
      </c>
      <c r="I461" s="6" t="s">
        <v>920</v>
      </c>
    </row>
    <row r="462" spans="1:9" ht="15" x14ac:dyDescent="0.25">
      <c r="A462" s="1" t="s">
        <v>921</v>
      </c>
      <c r="B462" s="2">
        <f>HYPERLINK("https://www.omim.org/entry/154550",154550)</f>
        <v>154550</v>
      </c>
      <c r="C462" s="3">
        <f>HYPERLINK("https://www.omim.org/entry/602579",602579)</f>
        <v>602579</v>
      </c>
      <c r="I462" s="6" t="s">
        <v>1942</v>
      </c>
    </row>
    <row r="463" spans="1:9" ht="15" x14ac:dyDescent="0.25">
      <c r="A463" s="1" t="s">
        <v>923</v>
      </c>
      <c r="B463" s="2">
        <f>HYPERLINK("https://www.omim.org/entry/609196",609196)</f>
        <v>609196</v>
      </c>
      <c r="C463" s="3">
        <f>HYPERLINK("https://www.omim.org/entry/607398",607398)</f>
        <v>607398</v>
      </c>
      <c r="I463" s="6" t="s">
        <v>1943</v>
      </c>
    </row>
    <row r="464" spans="1:9" ht="15" x14ac:dyDescent="0.25">
      <c r="A464" s="1" t="s">
        <v>925</v>
      </c>
      <c r="B464" s="2">
        <f>HYPERLINK("https://www.omim.org/entry/112210",112210)</f>
        <v>112210</v>
      </c>
      <c r="C464" s="3">
        <f>HYPERLINK("https://www.omim.org/entry/613495",613495)</f>
        <v>613495</v>
      </c>
      <c r="I464" s="6" t="s">
        <v>1944</v>
      </c>
    </row>
    <row r="465" spans="1:9" ht="15" x14ac:dyDescent="0.25">
      <c r="A465" s="1" t="s">
        <v>927</v>
      </c>
      <c r="B465" s="2">
        <f>HYPERLINK("https://www.omim.org/entry/613719",613719)</f>
        <v>613719</v>
      </c>
      <c r="C465" s="3">
        <f>HYPERLINK("https://www.omim.org/entry/613718",613718)</f>
        <v>613718</v>
      </c>
      <c r="I465" s="6" t="s">
        <v>1945</v>
      </c>
    </row>
    <row r="466" spans="1:9" ht="15" x14ac:dyDescent="0.25">
      <c r="A466" s="1" t="s">
        <v>929</v>
      </c>
      <c r="B466" s="2">
        <f>HYPERLINK("https://www.omim.org/entry/172460",172460)</f>
        <v>172460</v>
      </c>
      <c r="C466" s="3">
        <f>HYPERLINK("https://www.omim.org/entry/617780",617780)</f>
        <v>617780</v>
      </c>
      <c r="I466" s="6" t="s">
        <v>1946</v>
      </c>
    </row>
    <row r="467" spans="1:9" ht="15" x14ac:dyDescent="0.25">
      <c r="A467" s="1" t="s">
        <v>931</v>
      </c>
      <c r="B467" s="2">
        <f>HYPERLINK("https://www.omim.org/entry/607093",607093)</f>
        <v>607093</v>
      </c>
      <c r="C467" s="3">
        <f>HYPERLINK("https://www.omim.org/entry/236250",236250)</f>
        <v>236250</v>
      </c>
      <c r="I467" s="6" t="s">
        <v>1947</v>
      </c>
    </row>
    <row r="468" spans="1:9" ht="15" x14ac:dyDescent="0.25">
      <c r="A468" s="1" t="s">
        <v>933</v>
      </c>
      <c r="B468" s="2">
        <f>HYPERLINK("https://www.omim.org/entry/156570",156570)</f>
        <v>156570</v>
      </c>
      <c r="C468" s="3">
        <f>HYPERLINK("https://www.omim.org/entry/250940",250940)</f>
        <v>250940</v>
      </c>
      <c r="I468" s="6" t="s">
        <v>1948</v>
      </c>
    </row>
    <row r="469" spans="1:9" ht="15" x14ac:dyDescent="0.25">
      <c r="A469" s="1" t="s">
        <v>935</v>
      </c>
      <c r="B469" s="2">
        <f>HYPERLINK("https://www.omim.org/entry/602568",602568)</f>
        <v>602568</v>
      </c>
      <c r="C469" s="3">
        <f>HYPERLINK("https://www.omim.org/entry/236270",236270)</f>
        <v>236270</v>
      </c>
      <c r="I469" s="6" t="s">
        <v>1949</v>
      </c>
    </row>
    <row r="470" spans="1:9" ht="15" x14ac:dyDescent="0.25">
      <c r="A470" s="1" t="s">
        <v>937</v>
      </c>
      <c r="B470" s="2">
        <f>HYPERLINK("https://www.omim.org/entry/157147",157147)</f>
        <v>157147</v>
      </c>
      <c r="C470" s="3">
        <f>HYPERLINK("https://www.omim.org/entry/200100",200100)</f>
        <v>200100</v>
      </c>
      <c r="I470" s="6" t="s">
        <v>938</v>
      </c>
    </row>
    <row r="471" spans="1:9" ht="15" x14ac:dyDescent="0.25">
      <c r="A471" s="1" t="s">
        <v>939</v>
      </c>
      <c r="B471" s="2">
        <f>HYPERLINK("https://www.omim.org/entry/601296",601296)</f>
        <v>601296</v>
      </c>
      <c r="C471" s="3">
        <f>HYPERLINK("https://www.omim.org/entry/616325",616325)</f>
        <v>616325</v>
      </c>
      <c r="I471" s="6" t="s">
        <v>1950</v>
      </c>
    </row>
    <row r="472" spans="1:9" ht="15" x14ac:dyDescent="0.25">
      <c r="A472" s="1" t="s">
        <v>941</v>
      </c>
      <c r="B472" s="2">
        <f>HYPERLINK("https://www.omim.org/entry/600958",600958)</f>
        <v>600958</v>
      </c>
      <c r="C472" s="3">
        <f>HYPERLINK("https://www.omim.org/entry/615396",615396)</f>
        <v>615396</v>
      </c>
      <c r="I472" s="6" t="s">
        <v>1951</v>
      </c>
    </row>
    <row r="473" spans="1:9" ht="15" x14ac:dyDescent="0.25">
      <c r="A473" s="1" t="s">
        <v>943</v>
      </c>
      <c r="B473" s="2">
        <f>HYPERLINK("https://www.omim.org/entry/602170",602170)</f>
        <v>602170</v>
      </c>
      <c r="C473" s="3">
        <f>HYPERLINK("https://www.omim.org/entry/612260",612260)</f>
        <v>612260</v>
      </c>
      <c r="I473" s="6" t="s">
        <v>1952</v>
      </c>
    </row>
    <row r="474" spans="1:9" ht="15" x14ac:dyDescent="0.25">
      <c r="A474" s="1" t="s">
        <v>945</v>
      </c>
      <c r="B474" s="2">
        <f>HYPERLINK("https://www.omim.org/entry/160760",160760)</f>
        <v>160760</v>
      </c>
      <c r="C474" s="3">
        <f>HYPERLINK("https://www.omim.org/entry/192600",192600)</f>
        <v>192600</v>
      </c>
      <c r="I474" s="6" t="s">
        <v>1953</v>
      </c>
    </row>
    <row r="475" spans="1:9" ht="15" x14ac:dyDescent="0.25">
      <c r="A475" s="1" t="s">
        <v>947</v>
      </c>
      <c r="B475" s="2">
        <f>HYPERLINK("https://www.omim.org/entry/602666",602666)</f>
        <v>602666</v>
      </c>
      <c r="C475" s="3">
        <f>HYPERLINK("https://www.omim.org/entry/600316",600316)</f>
        <v>600316</v>
      </c>
      <c r="I475" s="6" t="s">
        <v>1954</v>
      </c>
    </row>
    <row r="476" spans="1:9" ht="15" x14ac:dyDescent="0.25">
      <c r="A476" s="1" t="s">
        <v>949</v>
      </c>
      <c r="B476" s="2">
        <f>HYPERLINK("https://www.omim.org/entry/600970",600970)</f>
        <v>600970</v>
      </c>
      <c r="C476" s="3">
        <f>HYPERLINK("https://www.omim.org/entry/607821",607821)</f>
        <v>607821</v>
      </c>
      <c r="I476" s="6" t="s">
        <v>1955</v>
      </c>
    </row>
    <row r="477" spans="1:9" ht="15" x14ac:dyDescent="0.25">
      <c r="A477" s="1" t="s">
        <v>951</v>
      </c>
      <c r="B477" s="2">
        <f>HYPERLINK("https://www.omim.org/entry/276903",276903)</f>
        <v>276903</v>
      </c>
      <c r="C477" s="3">
        <f>HYPERLINK("https://www.omim.org/entry/600060",600060)</f>
        <v>600060</v>
      </c>
      <c r="D477" s="15">
        <f>HYPERLINK("https://www.omim.org/entry/276900",276900)</f>
        <v>276900</v>
      </c>
      <c r="I477" s="6" t="s">
        <v>1956</v>
      </c>
    </row>
    <row r="478" spans="1:9" ht="15" x14ac:dyDescent="0.25">
      <c r="A478" s="1" t="s">
        <v>953</v>
      </c>
      <c r="B478" s="2">
        <f>HYPERLINK("https://www.omim.org/entry/608300",608300)</f>
        <v>608300</v>
      </c>
      <c r="C478" s="3">
        <f>HYPERLINK("https://www.omim.org/entry/237310",237310)</f>
        <v>237310</v>
      </c>
      <c r="I478" s="6" t="s">
        <v>1957</v>
      </c>
    </row>
    <row r="479" spans="1:9" ht="15" x14ac:dyDescent="0.25">
      <c r="A479" s="1" t="s">
        <v>955</v>
      </c>
      <c r="B479" s="2">
        <f>HYPERLINK("https://www.omim.org/entry/614169",614169)</f>
        <v>614169</v>
      </c>
      <c r="C479" s="3">
        <f>HYPERLINK("https://www.omim.org/entry/139090",139090)</f>
        <v>139090</v>
      </c>
      <c r="I479" s="6" t="s">
        <v>1958</v>
      </c>
    </row>
    <row r="480" spans="1:9" ht="15" x14ac:dyDescent="0.25">
      <c r="A480" s="1" t="s">
        <v>957</v>
      </c>
      <c r="B480" s="2">
        <f>HYPERLINK("https://www.omim.org/entry/602667",602667)</f>
        <v>602667</v>
      </c>
      <c r="C480" s="3">
        <f>HYPERLINK("https://www.omim.org/entry/251260",251260)</f>
        <v>251260</v>
      </c>
      <c r="I480" s="6" t="s">
        <v>1959</v>
      </c>
    </row>
    <row r="481" spans="1:9" ht="15" x14ac:dyDescent="0.25">
      <c r="A481" s="1" t="s">
        <v>959</v>
      </c>
      <c r="B481" s="2">
        <f>HYPERLINK("https://www.omim.org/entry/608515",608515)</f>
        <v>608515</v>
      </c>
      <c r="C481" s="3">
        <f>HYPERLINK("https://www.omim.org/entry/233710",233710)</f>
        <v>233710</v>
      </c>
      <c r="I481" s="6" t="s">
        <v>1960</v>
      </c>
    </row>
    <row r="482" spans="1:9" ht="15" x14ac:dyDescent="0.25">
      <c r="A482" s="1" t="s">
        <v>961</v>
      </c>
      <c r="B482" s="2">
        <f>HYPERLINK("https://www.omim.org/entry/601488",601488)</f>
        <v>601488</v>
      </c>
      <c r="C482" s="3">
        <f>HYPERLINK("https://www.omim.org/entry/613960",613960)</f>
        <v>613960</v>
      </c>
      <c r="I482" s="6" t="s">
        <v>1961</v>
      </c>
    </row>
    <row r="483" spans="1:9" ht="15" x14ac:dyDescent="0.25">
      <c r="A483" s="1" t="s">
        <v>963</v>
      </c>
      <c r="B483" s="2">
        <f>HYPERLINK("https://www.omim.org/entry/604882",604882)</f>
        <v>604882</v>
      </c>
      <c r="C483" s="3">
        <f>HYPERLINK("https://www.omim.org/entry/610370",610370)</f>
        <v>610370</v>
      </c>
      <c r="I483" s="6" t="s">
        <v>1962</v>
      </c>
    </row>
    <row r="484" spans="1:9" ht="15" x14ac:dyDescent="0.25">
      <c r="A484" s="1" t="s">
        <v>965</v>
      </c>
      <c r="B484" s="2">
        <f>HYPERLINK("https://www.omim.org/entry/164012",164012)</f>
        <v>164012</v>
      </c>
      <c r="C484" s="3">
        <f>HYPERLINK("https://www.omim.org/entry/615577",615577)</f>
        <v>615577</v>
      </c>
      <c r="I484" s="6" t="s">
        <v>1963</v>
      </c>
    </row>
    <row r="485" spans="1:9" ht="15" x14ac:dyDescent="0.25">
      <c r="A485" s="1" t="s">
        <v>967</v>
      </c>
      <c r="B485" s="2">
        <f>HYPERLINK("https://www.omim.org/entry/164008",164008)</f>
        <v>164008</v>
      </c>
      <c r="C485" s="3">
        <f>HYPERLINK("https://www.omim.org/entry/612132",612132)</f>
        <v>612132</v>
      </c>
      <c r="I485" s="6" t="s">
        <v>1964</v>
      </c>
    </row>
    <row r="486" spans="1:9" ht="15" x14ac:dyDescent="0.25">
      <c r="A486" s="1" t="s">
        <v>969</v>
      </c>
      <c r="B486" s="2">
        <f>HYPERLINK("https://www.omim.org/entry/611290",611290)</f>
        <v>611290</v>
      </c>
      <c r="C486" s="3">
        <f>HYPERLINK("https://www.omim.org/entry/611291",611291)</f>
        <v>611291</v>
      </c>
      <c r="I486" s="6" t="s">
        <v>1965</v>
      </c>
    </row>
    <row r="487" spans="1:9" ht="15" x14ac:dyDescent="0.25">
      <c r="A487" s="1" t="s">
        <v>971</v>
      </c>
      <c r="B487" s="2">
        <f>HYPERLINK("https://www.omim.org/entry/600635",600635)</f>
        <v>600635</v>
      </c>
      <c r="C487" s="3">
        <f>HYPERLINK("https://www.omim.org/entry/610978",610978)</f>
        <v>610978</v>
      </c>
      <c r="I487" s="6" t="s">
        <v>1966</v>
      </c>
    </row>
    <row r="488" spans="1:9" ht="15" x14ac:dyDescent="0.25">
      <c r="A488" s="1" t="s">
        <v>973</v>
      </c>
      <c r="B488" s="2">
        <f>HYPERLINK("https://www.omim.org/entry/600584",600584)</f>
        <v>600584</v>
      </c>
      <c r="C488" s="3">
        <f>HYPERLINK("https://www.omim.org/entry/225250",225250)</f>
        <v>225250</v>
      </c>
      <c r="I488" s="6" t="s">
        <v>1967</v>
      </c>
    </row>
    <row r="489" spans="1:9" ht="15" x14ac:dyDescent="0.25">
      <c r="A489" s="1" t="s">
        <v>975</v>
      </c>
      <c r="B489" s="2">
        <f>HYPERLINK("https://www.omim.org/entry/606416",606416)</f>
        <v>606416</v>
      </c>
      <c r="C489" s="3">
        <f>HYPERLINK("https://www.omim.org/entry/607115",607115)</f>
        <v>607115</v>
      </c>
      <c r="D489" s="15">
        <f>HYPERLINK("https://www.omim.org/entry/120100",120100)</f>
        <v>120100</v>
      </c>
      <c r="E489" s="15">
        <f>HYPERLINK("https://www.omim.org/entry/191900",191900)</f>
        <v>191900</v>
      </c>
      <c r="I489" s="6" t="s">
        <v>1968</v>
      </c>
    </row>
    <row r="490" spans="1:9" ht="15" x14ac:dyDescent="0.25">
      <c r="A490" s="24" t="s">
        <v>977</v>
      </c>
      <c r="B490" s="25">
        <f>HYPERLINK("https://www.omim.org/entry/607878",607878)</f>
        <v>607878</v>
      </c>
      <c r="C490" s="26">
        <f>HYPERLINK("https://www.omim.org/entry/614736",614736)</f>
        <v>614736</v>
      </c>
      <c r="I490" s="6" t="s">
        <v>1969</v>
      </c>
    </row>
    <row r="491" spans="1:9" ht="15" x14ac:dyDescent="0.25">
      <c r="A491" s="1" t="s">
        <v>979</v>
      </c>
      <c r="B491" s="2">
        <f>HYPERLINK("https://www.omim.org/entry/601265",601265)</f>
        <v>601265</v>
      </c>
      <c r="C491" s="3">
        <f>HYPERLINK("https://www.omim.org/entry/270100",270100)</f>
        <v>270100</v>
      </c>
      <c r="I491" s="6" t="s">
        <v>1970</v>
      </c>
    </row>
    <row r="492" spans="1:9" ht="15" x14ac:dyDescent="0.25">
      <c r="A492" s="1" t="s">
        <v>981</v>
      </c>
      <c r="B492" s="2">
        <f>HYPERLINK("https://www.omim.org/entry/607623",607623)</f>
        <v>607623</v>
      </c>
      <c r="C492" s="3">
        <f>HYPERLINK("https://www.omim.org/entry/257220",257220)</f>
        <v>257220</v>
      </c>
      <c r="I492" s="6" t="s">
        <v>1971</v>
      </c>
    </row>
    <row r="493" spans="1:9" ht="15" x14ac:dyDescent="0.25">
      <c r="A493" s="1" t="s">
        <v>983</v>
      </c>
      <c r="B493" s="2">
        <f>HYPERLINK("https://www.omim.org/entry/601015",601015)</f>
        <v>601015</v>
      </c>
      <c r="C493" s="3">
        <f>HYPERLINK("https://www.omim.org/entry/607625",607625)</f>
        <v>607625</v>
      </c>
      <c r="I493" s="6" t="s">
        <v>1972</v>
      </c>
    </row>
    <row r="494" spans="1:9" ht="15" x14ac:dyDescent="0.25">
      <c r="A494" s="1" t="s">
        <v>985</v>
      </c>
      <c r="B494" s="2">
        <f>HYPERLINK("https://www.omim.org/entry/300473",300473)</f>
        <v>300473</v>
      </c>
      <c r="C494" s="3">
        <f>HYPERLINK("https://www.omim.org/entry/300200",300200)</f>
        <v>300200</v>
      </c>
      <c r="I494" s="6" t="s">
        <v>1973</v>
      </c>
    </row>
    <row r="495" spans="1:9" ht="15" x14ac:dyDescent="0.25">
      <c r="A495" s="1" t="s">
        <v>987</v>
      </c>
      <c r="B495" s="2">
        <f>HYPERLINK("https://www.omim.org/entry/600983",600983)</f>
        <v>600983</v>
      </c>
      <c r="C495" s="3">
        <f>HYPERLINK("https://www.omim.org/entry/177735",177735)</f>
        <v>177735</v>
      </c>
      <c r="I495" s="6" t="s">
        <v>1974</v>
      </c>
    </row>
    <row r="496" spans="1:9" ht="15" x14ac:dyDescent="0.25">
      <c r="A496" s="1" t="s">
        <v>989</v>
      </c>
      <c r="B496" s="2">
        <f>HYPERLINK("https://www.omim.org/entry/164790",164790)</f>
        <v>164790</v>
      </c>
      <c r="C496" s="3">
        <f>HYPERLINK("https://www.omim.org/entry/613224",613224)</f>
        <v>613224</v>
      </c>
      <c r="I496" s="6" t="s">
        <v>1975</v>
      </c>
    </row>
    <row r="497" spans="1:9" ht="15" x14ac:dyDescent="0.25">
      <c r="A497" s="1" t="s">
        <v>991</v>
      </c>
      <c r="B497" s="2">
        <f>HYPERLINK("https://www.omim.org/entry/164350",164350)</f>
        <v>164350</v>
      </c>
      <c r="C497" s="3">
        <f>HYPERLINK("https://www.omim.org/entry/618042",618042)</f>
        <v>618042</v>
      </c>
      <c r="I497" s="6" t="s">
        <v>1976</v>
      </c>
    </row>
    <row r="498" spans="1:9" ht="15" x14ac:dyDescent="0.25">
      <c r="A498" s="1" t="s">
        <v>993</v>
      </c>
      <c r="B498" s="2">
        <f>HYPERLINK("https://www.omim.org/entry/613349",613349)</f>
        <v>613349</v>
      </c>
      <c r="C498" s="3">
        <f>HYPERLINK("https://www.omim.org/entry/258870",258870)</f>
        <v>258870</v>
      </c>
      <c r="I498" s="6" t="s">
        <v>1977</v>
      </c>
    </row>
    <row r="499" spans="1:9" ht="15" x14ac:dyDescent="0.25">
      <c r="A499" s="1" t="s">
        <v>995</v>
      </c>
      <c r="B499" s="2">
        <f>HYPERLINK("https://www.omim.org/entry/615038",615038)</f>
        <v>615038</v>
      </c>
      <c r="C499" s="3">
        <f>HYPERLINK("https://www.omim.org/entry/615067",615067)</f>
        <v>615067</v>
      </c>
      <c r="I499" s="6" t="s">
        <v>1978</v>
      </c>
    </row>
    <row r="500" spans="1:9" ht="15" x14ac:dyDescent="0.25">
      <c r="A500" s="17" t="s">
        <v>997</v>
      </c>
      <c r="B500" s="2">
        <f>HYPERLINK("https://www.omim.org/entry/615408",615408)</f>
        <v>615408</v>
      </c>
      <c r="C500" s="3">
        <f>HYPERLINK("https://www.omim.org/entry/615451",615451)</f>
        <v>615451</v>
      </c>
      <c r="I500" s="6" t="s">
        <v>1979</v>
      </c>
    </row>
    <row r="501" spans="1:9" ht="15" x14ac:dyDescent="0.25">
      <c r="A501" s="17" t="s">
        <v>999</v>
      </c>
      <c r="B501" s="2">
        <f>HYPERLINK("https://www.omim.org/entry/615956",615956)</f>
        <v>615956</v>
      </c>
      <c r="C501" s="3">
        <f>HYPERLINK("https://www.omim.org/entry/616037",616037)</f>
        <v>616037</v>
      </c>
      <c r="I501" s="6" t="s">
        <v>1980</v>
      </c>
    </row>
    <row r="502" spans="1:9" ht="15" x14ac:dyDescent="0.25">
      <c r="A502" s="1" t="s">
        <v>1001</v>
      </c>
      <c r="B502" s="2">
        <f>HYPERLINK("https://www.omim.org/entry/617095",617095)</f>
        <v>617095</v>
      </c>
      <c r="C502" s="3">
        <f>HYPERLINK("https://www.omim.org/entry/617092",617092)</f>
        <v>617092</v>
      </c>
      <c r="I502" s="6" t="s">
        <v>1981</v>
      </c>
    </row>
    <row r="503" spans="1:9" ht="15" x14ac:dyDescent="0.25">
      <c r="A503" s="1" t="s">
        <v>1003</v>
      </c>
      <c r="B503" s="2">
        <f>HYPERLINK("https://www.omim.org/entry/300170",300170)</f>
        <v>300170</v>
      </c>
      <c r="C503" s="3">
        <f>HYPERLINK("https://www.omim.org/entry/300804",300804)</f>
        <v>300804</v>
      </c>
      <c r="I503" s="6" t="s">
        <v>1982</v>
      </c>
    </row>
    <row r="504" spans="1:9" ht="15" x14ac:dyDescent="0.25">
      <c r="A504" s="1" t="s">
        <v>1005</v>
      </c>
      <c r="B504" s="2">
        <f>HYPERLINK("https://www.omim.org/entry/300461",300461)</f>
        <v>300461</v>
      </c>
      <c r="C504" s="3">
        <f>HYPERLINK("https://www.omim.org/entry/311250",311250)</f>
        <v>311250</v>
      </c>
      <c r="I504" s="6" t="s">
        <v>1983</v>
      </c>
    </row>
    <row r="505" spans="1:9" ht="15" x14ac:dyDescent="0.25">
      <c r="A505" s="1" t="s">
        <v>1007</v>
      </c>
      <c r="B505" s="2">
        <f>HYPERLINK("https://www.omim.org/entry/607038",607038)</f>
        <v>607038</v>
      </c>
      <c r="C505" s="3">
        <f>HYPERLINK("https://www.omim.org/entry/607039",607039)</f>
        <v>607039</v>
      </c>
      <c r="I505" s="6" t="s">
        <v>1984</v>
      </c>
    </row>
    <row r="506" spans="1:9" ht="15" x14ac:dyDescent="0.25">
      <c r="A506" s="1" t="s">
        <v>1009</v>
      </c>
      <c r="B506" s="2">
        <f>HYPERLINK("https://www.omim.org/entry/603681",603681)</f>
        <v>603681</v>
      </c>
      <c r="C506" s="3">
        <f>HYPERLINK("https://www.omim.org/entry/601071",601071)</f>
        <v>601071</v>
      </c>
      <c r="I506" s="6" t="s">
        <v>1985</v>
      </c>
    </row>
    <row r="507" spans="1:9" ht="15" x14ac:dyDescent="0.25">
      <c r="A507" s="1" t="s">
        <v>1011</v>
      </c>
      <c r="B507" s="2">
        <f>HYPERLINK("https://www.omim.org/entry/604487",604487)</f>
        <v>604487</v>
      </c>
      <c r="C507" s="3">
        <f>HYPERLINK("https://www.omim.org/entry/614945",614945)</f>
        <v>614945</v>
      </c>
      <c r="I507" s="6" t="s">
        <v>1986</v>
      </c>
    </row>
    <row r="508" spans="1:9" ht="15" x14ac:dyDescent="0.25">
      <c r="A508" s="1" t="s">
        <v>1013</v>
      </c>
      <c r="B508" s="2">
        <f>HYPERLINK("https://www.omim.org/entry/614925",614925)</f>
        <v>614925</v>
      </c>
      <c r="C508" s="3">
        <f>HYPERLINK("https://www.omim.org/entry/614944",614944)</f>
        <v>614944</v>
      </c>
      <c r="I508" s="6" t="s">
        <v>1987</v>
      </c>
    </row>
    <row r="509" spans="1:9" ht="15" x14ac:dyDescent="0.25">
      <c r="A509" s="1" t="s">
        <v>1015</v>
      </c>
      <c r="B509" s="2">
        <f>HYPERLINK("https://www.omim.org/entry/600037",600037)</f>
        <v>600037</v>
      </c>
      <c r="C509" s="3">
        <f>HYPERLINK("https://www.omim.org/entry/613986",613986)</f>
        <v>613986</v>
      </c>
      <c r="I509" s="6" t="s">
        <v>1988</v>
      </c>
    </row>
    <row r="510" spans="1:9" ht="15" x14ac:dyDescent="0.25">
      <c r="A510" s="1" t="s">
        <v>1017</v>
      </c>
      <c r="B510" s="2">
        <f>HYPERLINK("https://www.omim.org/entry/601424",601424)</f>
        <v>601424</v>
      </c>
      <c r="C510" s="3">
        <f>HYPERLINK("https://www.omim.org/entry/245050",245050)</f>
        <v>245050</v>
      </c>
      <c r="I510" s="6" t="s">
        <v>1018</v>
      </c>
    </row>
    <row r="511" spans="1:9" ht="15" x14ac:dyDescent="0.25">
      <c r="A511" s="1" t="s">
        <v>1019</v>
      </c>
      <c r="B511" s="2">
        <f>HYPERLINK("https://www.omim.org/entry/612349",612349)</f>
        <v>612349</v>
      </c>
      <c r="C511" s="3">
        <f>HYPERLINK("https://www.omim.org/entry/261600",261600)</f>
        <v>261600</v>
      </c>
      <c r="I511" s="6" t="s">
        <v>1989</v>
      </c>
    </row>
    <row r="512" spans="1:9" ht="15" x14ac:dyDescent="0.25">
      <c r="A512" s="1" t="s">
        <v>1020</v>
      </c>
      <c r="B512" s="2">
        <f>HYPERLINK("https://www.omim.org/entry/167411",167411)</f>
        <v>167411</v>
      </c>
      <c r="C512" s="3">
        <f>HYPERLINK("https://www.omim.org/entry/615560",615560)</f>
        <v>615560</v>
      </c>
      <c r="I512" s="6" t="s">
        <v>1990</v>
      </c>
    </row>
    <row r="513" spans="1:9" ht="15" x14ac:dyDescent="0.25">
      <c r="A513" s="1" t="s">
        <v>1022</v>
      </c>
      <c r="B513" s="2">
        <f>HYPERLINK("https://www.omim.org/entry/606597",606597)</f>
        <v>606597</v>
      </c>
      <c r="C513" s="3">
        <f>HYPERLINK("https://www.omim.org/entry/193500",193500)</f>
        <v>193500</v>
      </c>
      <c r="I513" s="6" t="s">
        <v>1991</v>
      </c>
    </row>
    <row r="514" spans="1:9" ht="15" x14ac:dyDescent="0.25">
      <c r="A514" s="1" t="s">
        <v>1024</v>
      </c>
      <c r="B514" s="2">
        <f>HYPERLINK("https://www.omim.org/entry/167415",167415)</f>
        <v>167415</v>
      </c>
      <c r="C514" s="3">
        <f>HYPERLINK("https://www.omim.org/entry/218700",218700)</f>
        <v>218700</v>
      </c>
      <c r="I514" s="6" t="s">
        <v>1992</v>
      </c>
    </row>
    <row r="515" spans="1:9" ht="15" x14ac:dyDescent="0.25">
      <c r="A515" s="1" t="s">
        <v>1026</v>
      </c>
      <c r="B515" s="2">
        <f>HYPERLINK("https://www.omim.org/entry/126090",126090)</f>
        <v>126090</v>
      </c>
      <c r="C515" s="3">
        <f>HYPERLINK("https://www.omim.org/entry/264070",264070)</f>
        <v>264070</v>
      </c>
      <c r="I515" s="6" t="s">
        <v>1993</v>
      </c>
    </row>
    <row r="516" spans="1:9" ht="15" x14ac:dyDescent="0.25">
      <c r="A516" s="1" t="s">
        <v>1028</v>
      </c>
      <c r="B516" s="2">
        <f>HYPERLINK("https://www.omim.org/entry/232000",232000)</f>
        <v>232000</v>
      </c>
      <c r="C516" s="3">
        <f>HYPERLINK("https://www.omim.org/entry/606054",606054)</f>
        <v>606054</v>
      </c>
      <c r="I516" s="6" t="s">
        <v>1994</v>
      </c>
    </row>
    <row r="517" spans="1:9" ht="15" x14ac:dyDescent="0.25">
      <c r="A517" s="1" t="s">
        <v>1030</v>
      </c>
      <c r="B517" s="2">
        <f>HYPERLINK("https://www.omim.org/entry/232050",232050)</f>
        <v>232050</v>
      </c>
      <c r="C517" s="3">
        <f>HYPERLINK("https://www.omim.org/entry/606054",606054)</f>
        <v>606054</v>
      </c>
      <c r="I517" s="6" t="s">
        <v>1995</v>
      </c>
    </row>
    <row r="518" spans="1:9" ht="15" x14ac:dyDescent="0.25">
      <c r="A518" s="1" t="s">
        <v>1032</v>
      </c>
      <c r="B518" s="2">
        <f>HYPERLINK("https://www.omim.org/entry/605514",605514)</f>
        <v>605514</v>
      </c>
      <c r="C518" s="3">
        <f>HYPERLINK("https://www.omim.org/entry/609533",609533)</f>
        <v>609533</v>
      </c>
      <c r="D518" s="15">
        <f>HYPERLINK("https://www.omim.org/entry/602083",602083)</f>
        <v>602083</v>
      </c>
      <c r="I518" s="6" t="s">
        <v>1996</v>
      </c>
    </row>
    <row r="519" spans="1:9" ht="15" x14ac:dyDescent="0.25">
      <c r="A519" s="1" t="s">
        <v>1034</v>
      </c>
      <c r="B519" s="2">
        <f>HYPERLINK("https://www.omim.org/entry/600733",600733)</f>
        <v>600733</v>
      </c>
      <c r="C519" s="3">
        <f>HYPERLINK("https://www.omim.org/entry/260370",260370)</f>
        <v>260370</v>
      </c>
      <c r="I519" s="6" t="s">
        <v>1997</v>
      </c>
    </row>
    <row r="520" spans="1:9" ht="15" x14ac:dyDescent="0.25">
      <c r="A520" s="1" t="s">
        <v>1036</v>
      </c>
      <c r="B520" s="2">
        <f>HYPERLINK("https://www.omim.org/entry/179020",179020)</f>
        <v>179020</v>
      </c>
      <c r="C520" s="3">
        <f>HYPERLINK("https://www.omim.org/entry/618511",618511)</f>
        <v>618511</v>
      </c>
      <c r="I520" s="6" t="s">
        <v>1998</v>
      </c>
    </row>
    <row r="521" spans="1:9" ht="15" x14ac:dyDescent="0.25">
      <c r="A521" s="1" t="s">
        <v>1038</v>
      </c>
      <c r="B521" s="2">
        <f>HYPERLINK("https://www.omim.org/entry/612971",612971)</f>
        <v>612971</v>
      </c>
      <c r="C521" s="3">
        <f>HYPERLINK("https://www.omim.org/entry/618003",618003)</f>
        <v>618003</v>
      </c>
      <c r="D521" s="15">
        <f>HYPERLINK("https://www.omim.org/entry/605472",605472)</f>
        <v>605472</v>
      </c>
      <c r="I521" s="6" t="s">
        <v>1999</v>
      </c>
    </row>
    <row r="522" spans="1:9" ht="15" x14ac:dyDescent="0.25">
      <c r="A522" s="1" t="s">
        <v>1040</v>
      </c>
      <c r="B522" s="2">
        <f>HYPERLINK("https://www.omim.org/entry/171900",171900)</f>
        <v>171900</v>
      </c>
      <c r="C522" s="3">
        <f>HYPERLINK("https://www.omim.org/entry/614921",614921)</f>
        <v>614921</v>
      </c>
      <c r="I522" s="6" t="s">
        <v>2000</v>
      </c>
    </row>
    <row r="523" spans="1:9" ht="15" x14ac:dyDescent="0.25">
      <c r="A523" s="1" t="s">
        <v>1042</v>
      </c>
      <c r="B523" s="2">
        <f>HYPERLINK("https://www.omim.org/entry/172100",172100)</f>
        <v>172100</v>
      </c>
      <c r="C523" s="3">
        <f>HYPERLINK("https://www.omim.org/entry/615816",615816)</f>
        <v>615816</v>
      </c>
      <c r="I523" s="6" t="s">
        <v>2001</v>
      </c>
    </row>
    <row r="524" spans="1:9" ht="15" x14ac:dyDescent="0.25">
      <c r="A524" s="1" t="s">
        <v>1044</v>
      </c>
      <c r="B524" s="2">
        <f>HYPERLINK("https://www.omim.org/entry/300550",300550)</f>
        <v>300550</v>
      </c>
      <c r="C524" s="3">
        <f>HYPERLINK("https://www.omim.org/entry/307800",307800)</f>
        <v>307800</v>
      </c>
      <c r="I524" s="6" t="s">
        <v>2002</v>
      </c>
    </row>
    <row r="525" spans="1:9" ht="15" x14ac:dyDescent="0.25">
      <c r="A525" s="1" t="s">
        <v>1046</v>
      </c>
      <c r="B525" s="2">
        <f>HYPERLINK("https://www.omim.org/entry/606879",606879)</f>
        <v>606879</v>
      </c>
      <c r="C525" s="3">
        <f>HYPERLINK("https://www.omim.org/entry/601815",601815)</f>
        <v>601815</v>
      </c>
      <c r="I525" s="6" t="s">
        <v>2003</v>
      </c>
    </row>
    <row r="526" spans="1:9" ht="15" x14ac:dyDescent="0.25">
      <c r="A526" s="1" t="s">
        <v>1048</v>
      </c>
      <c r="B526" s="2">
        <f>HYPERLINK("https://www.omim.org/entry/300798",300798)</f>
        <v>300798</v>
      </c>
      <c r="C526" s="3">
        <f>HYPERLINK("https://www.omim.org/entry/306000",306000)</f>
        <v>306000</v>
      </c>
      <c r="I526" s="6" t="s">
        <v>2004</v>
      </c>
    </row>
    <row r="527" spans="1:9" ht="15" x14ac:dyDescent="0.25">
      <c r="A527" s="1" t="s">
        <v>1050</v>
      </c>
      <c r="B527" s="2">
        <f>HYPERLINK("https://www.omim.org/entry/172490",172490)</f>
        <v>172490</v>
      </c>
      <c r="C527" s="3">
        <f>HYPERLINK("https://www.omim.org/entry/261750",261750)</f>
        <v>261750</v>
      </c>
      <c r="I527" s="6" t="s">
        <v>2005</v>
      </c>
    </row>
    <row r="528" spans="1:9" ht="15" x14ac:dyDescent="0.25">
      <c r="A528" s="1" t="s">
        <v>1052</v>
      </c>
      <c r="B528" s="2">
        <f>HYPERLINK("https://www.omim.org/entry/172471",172471)</f>
        <v>172471</v>
      </c>
      <c r="C528" s="3">
        <f>HYPERLINK("https://www.omim.org/entry/613027",613027)</f>
        <v>613027</v>
      </c>
      <c r="I528" s="6" t="s">
        <v>2006</v>
      </c>
    </row>
    <row r="529" spans="1:9" ht="15" x14ac:dyDescent="0.25">
      <c r="A529" s="1" t="s">
        <v>1053</v>
      </c>
      <c r="B529" s="2">
        <f>HYPERLINK("https://www.omim.org/entry/602026",602026)</f>
        <v>602026</v>
      </c>
      <c r="C529" s="3">
        <f>HYPERLINK("https://www.omim.org/entry/266500",266500)</f>
        <v>266500</v>
      </c>
      <c r="I529" s="6" t="s">
        <v>2007</v>
      </c>
    </row>
    <row r="530" spans="1:9" ht="15" x14ac:dyDescent="0.25">
      <c r="A530" s="1" t="s">
        <v>1055</v>
      </c>
      <c r="B530" s="2">
        <f>HYPERLINK("https://www.omim.org/entry/602839",602839)</f>
        <v>602839</v>
      </c>
      <c r="C530" s="3">
        <f>HYPERLINK("https://www.omim.org/entry/615513",615513)</f>
        <v>615513</v>
      </c>
      <c r="D530" s="15">
        <f>HYPERLINK("https://www.omim.org/entry/619281",619281)</f>
        <v>619281</v>
      </c>
      <c r="I530" s="6" t="s">
        <v>2008</v>
      </c>
    </row>
    <row r="531" spans="1:9" ht="15" x14ac:dyDescent="0.25">
      <c r="A531" s="1" t="s">
        <v>1057</v>
      </c>
      <c r="B531" s="2">
        <f>HYPERLINK("https://www.omim.org/entry/171833",171833)</f>
        <v>171833</v>
      </c>
      <c r="C531" s="3">
        <f>HYPERLINK("https://www.omim.org/entry/616005",616005)</f>
        <v>616005</v>
      </c>
      <c r="D531" s="15">
        <f>HYPERLINK("https://www.omim.org/entry/269880",269880)</f>
        <v>269880</v>
      </c>
      <c r="E531" s="15">
        <f>HYPERLINK("https://www.omim.org/entry/615214",615214)</f>
        <v>615214</v>
      </c>
      <c r="I531" s="6" t="s">
        <v>2009</v>
      </c>
    </row>
    <row r="532" spans="1:9" ht="15" x14ac:dyDescent="0.25">
      <c r="A532" s="1" t="s">
        <v>1059</v>
      </c>
      <c r="B532" s="2">
        <f>HYPERLINK("https://www.omim.org/entry/610219",610219)</f>
        <v>610219</v>
      </c>
      <c r="C532" s="3">
        <f>HYPERLINK("https://www.omim.org/entry/610220",610220)</f>
        <v>610220</v>
      </c>
      <c r="I532" s="6" t="s">
        <v>2010</v>
      </c>
    </row>
    <row r="533" spans="1:9" ht="15" x14ac:dyDescent="0.25">
      <c r="A533" s="1" t="s">
        <v>1061</v>
      </c>
      <c r="B533" s="2">
        <f>HYPERLINK("https://www.omim.org/entry/609712",609712)</f>
        <v>609712</v>
      </c>
      <c r="C533" s="3">
        <f>HYPERLINK("https://www.omim.org/entry/266200",266200)</f>
        <v>266200</v>
      </c>
      <c r="I533" s="6" t="s">
        <v>2011</v>
      </c>
    </row>
    <row r="534" spans="1:9" ht="15" x14ac:dyDescent="0.25">
      <c r="A534" s="1" t="s">
        <v>1063</v>
      </c>
      <c r="B534" s="2">
        <f>HYPERLINK("https://www.omim.org/entry/600220",600220)</f>
        <v>600220</v>
      </c>
      <c r="C534" s="3">
        <f>HYPERLINK("https://www.omim.org/entry/614878",614878)</f>
        <v>614878</v>
      </c>
      <c r="I534" s="6" t="s">
        <v>2012</v>
      </c>
    </row>
    <row r="535" spans="1:9" ht="15" x14ac:dyDescent="0.25">
      <c r="A535" s="1" t="s">
        <v>1065</v>
      </c>
      <c r="B535" s="2">
        <f>HYPERLINK("https://www.omim.org/entry/604436",604436)</f>
        <v>604436</v>
      </c>
      <c r="C535" s="3">
        <f>HYPERLINK("https://www.omim.org/entry/617290",617290)</f>
        <v>617290</v>
      </c>
      <c r="I535" s="6" t="s">
        <v>2013</v>
      </c>
    </row>
    <row r="536" spans="1:9" ht="15" x14ac:dyDescent="0.25">
      <c r="A536" s="1" t="s">
        <v>1067</v>
      </c>
      <c r="B536" s="2">
        <f>HYPERLINK("https://www.omim.org/entry/300131",300131)</f>
        <v>300131</v>
      </c>
      <c r="C536" s="3">
        <f>HYPERLINK("https://www.omim.org/entry/300910",300910)</f>
        <v>300910</v>
      </c>
      <c r="I536" s="6" t="s">
        <v>2014</v>
      </c>
    </row>
    <row r="537" spans="1:9" ht="15" x14ac:dyDescent="0.25">
      <c r="A537" s="1" t="s">
        <v>1069</v>
      </c>
      <c r="B537" s="2">
        <f>HYPERLINK("https://www.omim.org/entry/601785",601785)</f>
        <v>601785</v>
      </c>
      <c r="C537" s="3">
        <f>HYPERLINK("https://www.omim.org/entry/212065",212065)</f>
        <v>212065</v>
      </c>
      <c r="I537" s="6" t="s">
        <v>2015</v>
      </c>
    </row>
    <row r="538" spans="1:9" ht="15" x14ac:dyDescent="0.25">
      <c r="A538" s="1" t="s">
        <v>1071</v>
      </c>
      <c r="B538" s="2">
        <f>HYPERLINK("https://www.omim.org/entry/164050",164050)</f>
        <v>164050</v>
      </c>
      <c r="C538" s="3">
        <f>HYPERLINK("https://www.omim.org/entry/613179",613179)</f>
        <v>613179</v>
      </c>
      <c r="I538" s="6" t="s">
        <v>2016</v>
      </c>
    </row>
    <row r="539" spans="1:9" ht="15" x14ac:dyDescent="0.25">
      <c r="A539" s="1" t="s">
        <v>1073</v>
      </c>
      <c r="B539" s="2">
        <f>HYPERLINK("https://www.omim.org/entry/603287",603287)</f>
        <v>603287</v>
      </c>
      <c r="C539" s="3">
        <f>HYPERLINK("https://www.omim.org/entry/610090",610090)</f>
        <v>610090</v>
      </c>
      <c r="I539" s="6" t="s">
        <v>2017</v>
      </c>
    </row>
    <row r="540" spans="1:9" ht="15" x14ac:dyDescent="0.25">
      <c r="A540" s="1" t="s">
        <v>1075</v>
      </c>
      <c r="B540" s="2">
        <f>HYPERLINK("https://www.omim.org/entry/603968",603968)</f>
        <v>603968</v>
      </c>
      <c r="C540" s="3">
        <f>HYPERLINK("https://www.omim.org/entry/278750",278750)</f>
        <v>278750</v>
      </c>
      <c r="I540" s="6" t="s">
        <v>2018</v>
      </c>
    </row>
    <row r="541" spans="1:9" ht="15" x14ac:dyDescent="0.25">
      <c r="A541" s="1" t="s">
        <v>1077</v>
      </c>
      <c r="B541" s="2">
        <f>HYPERLINK("https://www.omim.org/entry/613715",613715)</f>
        <v>613715</v>
      </c>
      <c r="C541" s="3">
        <f>HYPERLINK("https://www.omim.org/entry/613717",613717)</f>
        <v>613717</v>
      </c>
      <c r="I541" s="6" t="s">
        <v>2019</v>
      </c>
    </row>
    <row r="542" spans="1:9" ht="15" x14ac:dyDescent="0.25">
      <c r="A542" s="1" t="s">
        <v>1079</v>
      </c>
      <c r="B542" s="2">
        <f>HYPERLINK("https://www.omim.org/entry/176830",176830)</f>
        <v>176830</v>
      </c>
      <c r="C542" s="3">
        <f>HYPERLINK("https://www.omim.org/entry/609734",609734)</f>
        <v>609734</v>
      </c>
      <c r="I542" s="6" t="s">
        <v>2020</v>
      </c>
    </row>
    <row r="543" spans="1:9" ht="15" x14ac:dyDescent="0.25">
      <c r="A543" s="1" t="s">
        <v>1081</v>
      </c>
      <c r="B543" s="2">
        <f>HYPERLINK("https://www.omim.org/entry/124015",124015)</f>
        <v>124015</v>
      </c>
      <c r="C543" s="3">
        <f>HYPERLINK("https://www.omim.org/entry/613571",613571)</f>
        <v>613571</v>
      </c>
      <c r="I543" s="6" t="s">
        <v>2021</v>
      </c>
    </row>
    <row r="544" spans="1:9" ht="15" x14ac:dyDescent="0.25">
      <c r="A544" s="1" t="s">
        <v>1083</v>
      </c>
      <c r="B544" s="2">
        <f>HYPERLINK("https://www.omim.org/entry/173110",173110)</f>
        <v>173110</v>
      </c>
      <c r="C544" s="3">
        <f>HYPERLINK("https://www.omim.org/entry/613038",613038)</f>
        <v>613038</v>
      </c>
      <c r="I544" s="6" t="s">
        <v>2022</v>
      </c>
    </row>
    <row r="545" spans="1:9" ht="15" x14ac:dyDescent="0.25">
      <c r="A545" s="1" t="s">
        <v>1085</v>
      </c>
      <c r="B545" s="2">
        <f>HYPERLINK("https://www.omim.org/entry/611065",611065)</f>
        <v>611065</v>
      </c>
      <c r="C545" s="3">
        <f>HYPERLINK("https://www.omim.org/entry/615135",615135)</f>
        <v>615135</v>
      </c>
      <c r="I545" s="6" t="s">
        <v>2023</v>
      </c>
    </row>
    <row r="546" spans="1:9" ht="15" x14ac:dyDescent="0.25">
      <c r="A546" s="1" t="s">
        <v>1087</v>
      </c>
      <c r="B546" s="2">
        <f>HYPERLINK("https://www.omim.org/entry/600923",600923)</f>
        <v>600923</v>
      </c>
      <c r="C546" s="3">
        <f>HYPERLINK("https://www.omim.org/entry/620483",620483)</f>
        <v>620483</v>
      </c>
      <c r="I546" s="6" t="s">
        <v>2024</v>
      </c>
    </row>
    <row r="547" spans="1:9" ht="15" x14ac:dyDescent="0.25">
      <c r="A547" s="1" t="s">
        <v>1089</v>
      </c>
      <c r="B547" s="2">
        <f>HYPERLINK("https://www.omim.org/entry/609557",609557)</f>
        <v>609557</v>
      </c>
      <c r="C547" s="3">
        <f>HYPERLINK("https://www.omim.org/entry/616224",616224)</f>
        <v>616224</v>
      </c>
      <c r="I547" s="6" t="s">
        <v>2025</v>
      </c>
    </row>
    <row r="548" spans="1:9" ht="15" x14ac:dyDescent="0.25">
      <c r="A548" s="1" t="s">
        <v>1091</v>
      </c>
      <c r="B548" s="2">
        <f>HYPERLINK("https://www.omim.org/entry/170280",170280)</f>
        <v>170280</v>
      </c>
      <c r="C548" s="3">
        <f>HYPERLINK("https://www.omim.org/entry/603553",603553)</f>
        <v>603553</v>
      </c>
      <c r="I548" s="6" t="s">
        <v>2026</v>
      </c>
    </row>
    <row r="549" spans="1:9" ht="15" x14ac:dyDescent="0.25">
      <c r="A549" s="1" t="s">
        <v>1093</v>
      </c>
      <c r="B549" s="2">
        <f>HYPERLINK("https://www.omim.org/entry/188830",188830)</f>
        <v>188830</v>
      </c>
      <c r="C549" s="3">
        <f>HYPERLINK("https://www.omim.org/entry/160980",160980)</f>
        <v>160980</v>
      </c>
      <c r="I549" s="6" t="s">
        <v>2027</v>
      </c>
    </row>
    <row r="550" spans="1:9" ht="15" x14ac:dyDescent="0.25">
      <c r="A550" s="1" t="s">
        <v>1095</v>
      </c>
      <c r="B550" s="2">
        <f>HYPERLINK("https://www.omim.org/entry/600899",600899)</f>
        <v>600899</v>
      </c>
      <c r="C550" s="3">
        <f>HYPERLINK("https://www.omim.org/entry/615966",615966)</f>
        <v>615966</v>
      </c>
      <c r="I550" s="6" t="s">
        <v>2028</v>
      </c>
    </row>
    <row r="551" spans="1:9" ht="15" x14ac:dyDescent="0.25">
      <c r="A551" s="1" t="s">
        <v>1097</v>
      </c>
      <c r="B551" s="2">
        <f>HYPERLINK("https://www.omim.org/entry/601538",601538)</f>
        <v>601538</v>
      </c>
      <c r="C551" s="3">
        <f>HYPERLINK("https://www.omim.org/entry/262600",262600)</f>
        <v>262600</v>
      </c>
      <c r="I551" s="6" t="s">
        <v>2029</v>
      </c>
    </row>
    <row r="552" spans="1:9" ht="15" x14ac:dyDescent="0.25">
      <c r="A552" s="1" t="s">
        <v>1099</v>
      </c>
      <c r="B552" s="2">
        <f>HYPERLINK("https://www.omim.org/entry/176880",176880)</f>
        <v>176880</v>
      </c>
      <c r="C552" s="3">
        <f>HYPERLINK("https://www.omim.org/entry/614514",614514)</f>
        <v>614514</v>
      </c>
      <c r="I552" s="6" t="s">
        <v>2030</v>
      </c>
    </row>
    <row r="553" spans="1:9" ht="15" x14ac:dyDescent="0.25">
      <c r="A553" s="1" t="s">
        <v>1101</v>
      </c>
      <c r="B553" s="2">
        <f>HYPERLINK("https://www.omim.org/entry/311850",311850)</f>
        <v>311850</v>
      </c>
      <c r="C553" s="3">
        <f>HYPERLINK("https://www.omim.org/entry/304500",304500)</f>
        <v>304500</v>
      </c>
      <c r="I553" s="6" t="s">
        <v>2031</v>
      </c>
    </row>
    <row r="554" spans="1:9" ht="15" x14ac:dyDescent="0.25">
      <c r="A554" s="1" t="s">
        <v>1103</v>
      </c>
      <c r="B554" s="2">
        <f>HYPERLINK("https://www.omim.org/entry/610936",610936)</f>
        <v>610936</v>
      </c>
      <c r="C554" s="3">
        <f>HYPERLINK("https://www.omim.org/entry/610992",610992)</f>
        <v>610992</v>
      </c>
      <c r="I554" s="6" t="s">
        <v>2032</v>
      </c>
    </row>
    <row r="555" spans="1:9" ht="15" x14ac:dyDescent="0.25">
      <c r="A555" s="1" t="s">
        <v>1105</v>
      </c>
      <c r="B555" s="2">
        <f>HYPERLINK("https://www.omim.org/entry/606347",606347)</f>
        <v>606347</v>
      </c>
      <c r="C555" s="3">
        <f>HYPERLINK("https://www.omim.org/entry/601979",601979)</f>
        <v>601979</v>
      </c>
      <c r="D555" s="15">
        <f>HYPERLINK("https://www.omim.org/entry/604416",604416)</f>
        <v>604416</v>
      </c>
      <c r="I555" s="6" t="s">
        <v>2033</v>
      </c>
    </row>
    <row r="556" spans="1:9" ht="15" x14ac:dyDescent="0.25">
      <c r="A556" s="1" t="s">
        <v>1107</v>
      </c>
      <c r="B556" s="2">
        <f>HYPERLINK("https://www.omim.org/entry/607194",607194)</f>
        <v>607194</v>
      </c>
      <c r="C556" s="3">
        <f>HYPERLINK("https://www.omim.org/entry/615935",615935)</f>
        <v>615935</v>
      </c>
      <c r="I556" s="6" t="s">
        <v>2034</v>
      </c>
    </row>
    <row r="557" spans="1:9" ht="15" x14ac:dyDescent="0.25">
      <c r="A557" s="1" t="s">
        <v>1109</v>
      </c>
      <c r="B557" s="2">
        <f>HYPERLINK("https://www.omim.org/entry/176876",176876)</f>
        <v>176876</v>
      </c>
      <c r="C557" s="3">
        <f>HYPERLINK("https://www.omim.org/entry/163950",163950)</f>
        <v>163950</v>
      </c>
      <c r="I557" s="6" t="s">
        <v>2035</v>
      </c>
    </row>
    <row r="558" spans="1:9" ht="15" x14ac:dyDescent="0.25">
      <c r="A558" s="1" t="s">
        <v>1111</v>
      </c>
      <c r="B558" s="2">
        <f>HYPERLINK("https://www.omim.org/entry/151460",151460)</f>
        <v>151460</v>
      </c>
      <c r="C558" s="3">
        <f>HYPERLINK("https://www.omim.org/entry/619924",619924)</f>
        <v>619924</v>
      </c>
      <c r="I558" s="6" t="s">
        <v>2036</v>
      </c>
    </row>
    <row r="559" spans="1:9" ht="15" x14ac:dyDescent="0.25">
      <c r="A559" s="1" t="s">
        <v>1113</v>
      </c>
      <c r="B559" s="2">
        <f>HYPERLINK("https://www.omim.org/entry/603317",603317)</f>
        <v>603317</v>
      </c>
      <c r="C559" s="3">
        <f>HYPERLINK("https://www.omim.org/entry/613391",613391)</f>
        <v>613391</v>
      </c>
      <c r="I559" s="6" t="s">
        <v>2037</v>
      </c>
    </row>
    <row r="560" spans="1:9" ht="15" x14ac:dyDescent="0.25">
      <c r="A560" s="1" t="s">
        <v>1115</v>
      </c>
      <c r="B560" s="2">
        <f>HYPERLINK("https://www.omim.org/entry/612719",612719)</f>
        <v>612719</v>
      </c>
      <c r="C560" s="3">
        <f>HYPERLINK("https://www.omim.org/entry/261640",261640)</f>
        <v>261640</v>
      </c>
      <c r="I560" s="6" t="s">
        <v>2038</v>
      </c>
    </row>
    <row r="561" spans="1:9" ht="15" x14ac:dyDescent="0.25">
      <c r="A561" s="1" t="s">
        <v>1117</v>
      </c>
      <c r="B561" s="2">
        <f>HYPERLINK("https://www.omim.org/entry/613741",613741)</f>
        <v>613741</v>
      </c>
      <c r="C561" s="3">
        <f>HYPERLINK("https://www.omim.org/entry/232700",232700)</f>
        <v>232700</v>
      </c>
      <c r="I561" s="6" t="s">
        <v>2039</v>
      </c>
    </row>
    <row r="562" spans="1:9" ht="15" x14ac:dyDescent="0.25">
      <c r="A562" s="1" t="s">
        <v>1119</v>
      </c>
      <c r="B562" s="2">
        <f>HYPERLINK("https://www.omim.org/entry/608455",608455)</f>
        <v>608455</v>
      </c>
      <c r="C562" s="3">
        <f>HYPERLINK("https://www.omim.org/entry/232600",232600)</f>
        <v>232600</v>
      </c>
      <c r="I562" s="6" t="s">
        <v>2040</v>
      </c>
    </row>
    <row r="563" spans="1:9" ht="15" x14ac:dyDescent="0.25">
      <c r="A563" s="1" t="s">
        <v>1121</v>
      </c>
      <c r="B563" s="2">
        <f>HYPERLINK("https://www.omim.org/entry/612676",612676)</f>
        <v>612676</v>
      </c>
      <c r="C563" s="3">
        <f>HYPERLINK("https://www.omim.org/entry/261630",261630)</f>
        <v>261630</v>
      </c>
      <c r="I563" s="6" t="s">
        <v>2041</v>
      </c>
    </row>
    <row r="564" spans="1:9" ht="15" x14ac:dyDescent="0.25">
      <c r="A564" s="1" t="s">
        <v>1123</v>
      </c>
      <c r="B564" s="2">
        <f>HYPERLINK("https://www.omim.org/entry/606144",606144)</f>
        <v>606144</v>
      </c>
      <c r="C564" s="3">
        <f>HYPERLINK("https://www.omim.org/entry/201000",201000)</f>
        <v>201000</v>
      </c>
      <c r="I564" s="6" t="s">
        <v>2042</v>
      </c>
    </row>
    <row r="565" spans="1:9" ht="15" x14ac:dyDescent="0.25">
      <c r="A565" s="1" t="s">
        <v>1125</v>
      </c>
      <c r="B565" s="2">
        <f>HYPERLINK("https://www.omim.org/entry/603868",603868)</f>
        <v>603868</v>
      </c>
      <c r="C565" s="3">
        <f>HYPERLINK("https://www.omim.org/entry/607624",607624)</f>
        <v>607624</v>
      </c>
      <c r="I565" s="6" t="s">
        <v>2043</v>
      </c>
    </row>
    <row r="566" spans="1:9" ht="15" x14ac:dyDescent="0.25">
      <c r="A566" s="1" t="s">
        <v>1127</v>
      </c>
      <c r="B566" s="2">
        <f>HYPERLINK("https://www.omim.org/entry/602049",602049)</f>
        <v>602049</v>
      </c>
      <c r="C566" s="3">
        <f>HYPERLINK("https://www.omim.org/entry/618986",618986)</f>
        <v>618986</v>
      </c>
      <c r="I566" s="6" t="s">
        <v>2044</v>
      </c>
    </row>
    <row r="567" spans="1:9" ht="15" x14ac:dyDescent="0.25">
      <c r="A567" s="1" t="s">
        <v>1129</v>
      </c>
      <c r="B567" s="2">
        <f>HYPERLINK("https://www.omim.org/entry/164760",164760)</f>
        <v>164760</v>
      </c>
      <c r="C567" s="3">
        <f>HYPERLINK("https://www.omim.org/entry/611553",611553)</f>
        <v>611553</v>
      </c>
      <c r="I567" s="6" t="s">
        <v>2045</v>
      </c>
    </row>
    <row r="568" spans="1:9" ht="15" x14ac:dyDescent="0.25">
      <c r="A568" s="1" t="s">
        <v>1131</v>
      </c>
      <c r="B568" s="2">
        <f>HYPERLINK("https://www.omim.org/entry/179615",179615)</f>
        <v>179615</v>
      </c>
      <c r="C568" s="3">
        <f>HYPERLINK("https://www.omim.org/entry/603554",603554)</f>
        <v>603554</v>
      </c>
      <c r="D568" s="15">
        <f>HYPERLINK("https://www.omim.org/entry/601457",601457)</f>
        <v>601457</v>
      </c>
      <c r="I568" s="6" t="s">
        <v>2046</v>
      </c>
    </row>
    <row r="569" spans="1:9" ht="15" x14ac:dyDescent="0.25">
      <c r="A569" s="1" t="s">
        <v>1133</v>
      </c>
      <c r="B569" s="2">
        <f>HYPERLINK("https://www.omim.org/entry/179616",179616)</f>
        <v>179616</v>
      </c>
      <c r="C569" s="3">
        <f>HYPERLINK("https://www.omim.org/entry/601457",601457)</f>
        <v>601457</v>
      </c>
      <c r="D569" s="15">
        <f>HYPERLINK("https://www.omim.org/entry/233650",233650)</f>
        <v>233650</v>
      </c>
      <c r="E569" s="15">
        <f>HYPERLINK("https://www.omim.org/entry/603554",603554)</f>
        <v>603554</v>
      </c>
      <c r="I569" s="6" t="s">
        <v>2047</v>
      </c>
    </row>
    <row r="570" spans="1:9" ht="15" x14ac:dyDescent="0.25">
      <c r="A570" s="1" t="s">
        <v>1135</v>
      </c>
      <c r="B570" s="2">
        <f>HYPERLINK("https://www.omim.org/entry/601592",601592)</f>
        <v>601592</v>
      </c>
      <c r="C570" s="3">
        <f>HYPERLINK("https://www.omim.org/entry/616326",616326)</f>
        <v>616326</v>
      </c>
      <c r="I570" s="6" t="s">
        <v>2048</v>
      </c>
    </row>
    <row r="571" spans="1:9" ht="15" x14ac:dyDescent="0.25">
      <c r="A571" s="1" t="s">
        <v>1137</v>
      </c>
      <c r="B571" s="2">
        <f>HYPERLINK("https://www.omim.org/entry/603962",603962)</f>
        <v>603962</v>
      </c>
      <c r="C571" s="3">
        <f>HYPERLINK("https://www.omim.org/entry/618534",618534)</f>
        <v>618534</v>
      </c>
      <c r="I571" s="6" t="s">
        <v>2049</v>
      </c>
    </row>
    <row r="572" spans="1:9" ht="15" x14ac:dyDescent="0.25">
      <c r="A572" s="1" t="s">
        <v>1139</v>
      </c>
      <c r="B572" s="2">
        <f>HYPERLINK("https://www.omim.org/entry/179410",179410)</f>
        <v>179410</v>
      </c>
      <c r="C572" s="3">
        <f>HYPERLINK("https://www.omim.org/entry/611022",611022)</f>
        <v>611022</v>
      </c>
      <c r="I572" s="6" t="s">
        <v>2050</v>
      </c>
    </row>
    <row r="573" spans="1:9" ht="15" x14ac:dyDescent="0.25">
      <c r="A573" s="1" t="s">
        <v>1141</v>
      </c>
      <c r="B573" s="2">
        <f>HYPERLINK("https://www.omim.org/entry/601863",601863)</f>
        <v>601863</v>
      </c>
      <c r="C573" s="3">
        <f>HYPERLINK("https://www.omim.org/entry/620816",620816)</f>
        <v>620816</v>
      </c>
      <c r="I573" s="6" t="s">
        <v>2051</v>
      </c>
    </row>
    <row r="574" spans="1:9" ht="15" x14ac:dyDescent="0.25">
      <c r="A574" s="1" t="s">
        <v>1143</v>
      </c>
      <c r="B574" s="2">
        <f>HYPERLINK("https://www.omim.org/entry/603200",603200)</f>
        <v>603200</v>
      </c>
      <c r="C574" s="3">
        <f>HYPERLINK("https://www.omim.org/entry/620815",620815)</f>
        <v>620815</v>
      </c>
      <c r="I574" s="6" t="s">
        <v>2052</v>
      </c>
    </row>
    <row r="575" spans="1:9" ht="15" x14ac:dyDescent="0.25">
      <c r="A575" s="1" t="s">
        <v>1145</v>
      </c>
      <c r="B575" s="2">
        <f>HYPERLINK("https://www.omim.org/entry/601861",601861)</f>
        <v>601861</v>
      </c>
      <c r="C575" s="3">
        <f>HYPERLINK("https://www.omim.org/entry/620817",620817)</f>
        <v>620817</v>
      </c>
      <c r="I575" s="6" t="s">
        <v>2053</v>
      </c>
    </row>
    <row r="576" spans="1:9" ht="15" x14ac:dyDescent="0.25">
      <c r="A576" s="1" t="s">
        <v>1147</v>
      </c>
      <c r="B576" s="2">
        <f>HYPERLINK("https://www.omim.org/entry/609591",609591)</f>
        <v>609591</v>
      </c>
      <c r="C576" s="3">
        <f>HYPERLINK("https://www.omim.org/entry/615355",615355)</f>
        <v>615355</v>
      </c>
      <c r="I576" s="6" t="s">
        <v>2054</v>
      </c>
    </row>
    <row r="577" spans="1:9" ht="15" x14ac:dyDescent="0.25">
      <c r="A577" s="1" t="s">
        <v>1149</v>
      </c>
      <c r="B577" s="2">
        <f>HYPERLINK("https://www.omim.org/entry/157660",157660)</f>
        <v>157660</v>
      </c>
      <c r="C577" s="3">
        <f>HYPERLINK("https://www.omim.org/entry/607095",607095)</f>
        <v>607095</v>
      </c>
      <c r="D577" s="15">
        <f>HYPERLINK("https://www.omim.org/entry/250250",250250)</f>
        <v>250250</v>
      </c>
      <c r="I577" s="6" t="s">
        <v>2055</v>
      </c>
    </row>
    <row r="578" spans="1:9" ht="15" x14ac:dyDescent="0.25">
      <c r="A578" s="1" t="s">
        <v>1151</v>
      </c>
      <c r="B578" s="2">
        <f>HYPERLINK("https://www.omim.org/entry/606034",606034)</f>
        <v>606034</v>
      </c>
      <c r="C578" s="3">
        <f>HYPERLINK("https://www.omim.org/entry/610333",610333)</f>
        <v>610333</v>
      </c>
      <c r="I578" s="6" t="s">
        <v>2056</v>
      </c>
    </row>
    <row r="579" spans="1:9" ht="15" x14ac:dyDescent="0.25">
      <c r="A579" s="1" t="s">
        <v>1153</v>
      </c>
      <c r="B579" s="2">
        <f>HYPERLINK("https://www.omim.org/entry/610326",610326)</f>
        <v>610326</v>
      </c>
      <c r="C579" s="3">
        <f>HYPERLINK("https://www.omim.org/entry/610181",610181)</f>
        <v>610181</v>
      </c>
      <c r="I579" s="6" t="s">
        <v>2057</v>
      </c>
    </row>
    <row r="580" spans="1:9" ht="15" x14ac:dyDescent="0.25">
      <c r="A580" s="1" t="s">
        <v>1155</v>
      </c>
      <c r="B580" s="2">
        <f>HYPERLINK("https://www.omim.org/entry/610330",610330)</f>
        <v>610330</v>
      </c>
      <c r="C580" s="3">
        <f>HYPERLINK("https://www.omim.org/entry/610329",610329)</f>
        <v>610329</v>
      </c>
      <c r="I580" s="6" t="s">
        <v>2058</v>
      </c>
    </row>
    <row r="581" spans="1:9" ht="15" x14ac:dyDescent="0.25">
      <c r="A581" s="1" t="s">
        <v>1157</v>
      </c>
      <c r="B581" s="2">
        <f>HYPERLINK("https://www.omim.org/entry/618016",618016)</f>
        <v>618016</v>
      </c>
      <c r="C581" s="3">
        <f>HYPERLINK("https://www.omim.org/entry/618160",618160)</f>
        <v>618160</v>
      </c>
      <c r="I581" s="6" t="s">
        <v>2059</v>
      </c>
    </row>
    <row r="582" spans="1:9" ht="15" x14ac:dyDescent="0.25">
      <c r="A582" s="1" t="s">
        <v>1159</v>
      </c>
      <c r="B582" s="2">
        <f>HYPERLINK("https://www.omim.org/entry/180069",180069)</f>
        <v>180069</v>
      </c>
      <c r="C582" s="3">
        <f>HYPERLINK("https://www.omim.org/entry/613794",613794)</f>
        <v>613794</v>
      </c>
      <c r="D582" s="15">
        <f>HYPERLINK("https://www.omim.org/entry/204100",204100)</f>
        <v>204100</v>
      </c>
      <c r="I582" s="6" t="s">
        <v>2060</v>
      </c>
    </row>
    <row r="583" spans="1:9" ht="15" x14ac:dyDescent="0.25">
      <c r="A583" s="1" t="s">
        <v>1161</v>
      </c>
      <c r="B583" s="2">
        <f>HYPERLINK("https://www.omim.org/entry/604175",604175)</f>
        <v>604175</v>
      </c>
      <c r="C583" s="3">
        <f>HYPERLINK("https://www.omim.org/entry/612562",612562)</f>
        <v>612562</v>
      </c>
      <c r="I583" s="6" t="s">
        <v>2061</v>
      </c>
    </row>
    <row r="584" spans="1:9" ht="15" x14ac:dyDescent="0.25">
      <c r="A584" s="1" t="s">
        <v>1163</v>
      </c>
      <c r="B584" s="2">
        <f>HYPERLINK("https://www.omim.org/entry/604174",604174)</f>
        <v>604174</v>
      </c>
      <c r="C584" s="3">
        <f>HYPERLINK("https://www.omim.org/entry/615550",615550)</f>
        <v>615550</v>
      </c>
      <c r="I584" s="6" t="s">
        <v>2062</v>
      </c>
    </row>
    <row r="585" spans="1:9" ht="15" x14ac:dyDescent="0.25">
      <c r="A585" s="1" t="s">
        <v>1165</v>
      </c>
      <c r="B585" s="2">
        <f>HYPERLINK("https://www.omim.org/entry/603704",603704)</f>
        <v>603704</v>
      </c>
      <c r="C585" s="3">
        <f>HYPERLINK("https://www.omim.org/entry/614900",614900)</f>
        <v>614900</v>
      </c>
      <c r="I585" s="6" t="s">
        <v>2063</v>
      </c>
    </row>
    <row r="586" spans="1:9" ht="15" x14ac:dyDescent="0.25">
      <c r="A586" s="1" t="s">
        <v>1167</v>
      </c>
      <c r="B586" s="2">
        <f>HYPERLINK("https://www.omim.org/entry/607526",607526)</f>
        <v>607526</v>
      </c>
      <c r="C586" s="3">
        <f>HYPERLINK("https://www.omim.org/entry/617408",617408)</f>
        <v>617408</v>
      </c>
      <c r="I586" s="6" t="s">
        <v>2064</v>
      </c>
    </row>
    <row r="587" spans="1:9" ht="15" x14ac:dyDescent="0.25">
      <c r="A587" s="1" t="s">
        <v>1169</v>
      </c>
      <c r="B587" s="2">
        <f>HYPERLINK("https://www.omim.org/entry/180468",180468)</f>
        <v>180468</v>
      </c>
      <c r="C587" s="3">
        <f>HYPERLINK("https://www.omim.org/entry/612528",612528)</f>
        <v>612528</v>
      </c>
      <c r="I587" s="6" t="s">
        <v>2065</v>
      </c>
    </row>
    <row r="588" spans="1:9" ht="15" x14ac:dyDescent="0.25">
      <c r="A588" s="1" t="s">
        <v>1171</v>
      </c>
      <c r="B588" s="2">
        <f>HYPERLINK("https://www.omim.org/entry/603634",603634)</f>
        <v>603634</v>
      </c>
      <c r="C588" s="3">
        <f>HYPERLINK("https://www.omim.org/entry/612561",612561)</f>
        <v>612561</v>
      </c>
      <c r="I588" s="6" t="s">
        <v>2066</v>
      </c>
    </row>
    <row r="589" spans="1:9" ht="15" x14ac:dyDescent="0.25">
      <c r="A589" s="1" t="s">
        <v>1173</v>
      </c>
      <c r="B589" s="2">
        <f>HYPERLINK("https://www.omim.org/entry/603632",603632)</f>
        <v>603632</v>
      </c>
      <c r="C589" s="3">
        <f>HYPERLINK("https://www.omim.org/entry/613308",613308)</f>
        <v>613308</v>
      </c>
      <c r="I589" s="6" t="s">
        <v>2067</v>
      </c>
    </row>
    <row r="590" spans="1:9" ht="15" x14ac:dyDescent="0.25">
      <c r="A590" s="1" t="s">
        <v>1175</v>
      </c>
      <c r="B590" s="2">
        <f>HYPERLINK("https://www.omim.org/entry/180472",180472)</f>
        <v>180472</v>
      </c>
      <c r="C590" s="3">
        <f>HYPERLINK("https://www.omim.org/entry/612527",612527)</f>
        <v>612527</v>
      </c>
      <c r="I590" s="6" t="s">
        <v>2068</v>
      </c>
    </row>
    <row r="591" spans="1:9" ht="15" x14ac:dyDescent="0.25">
      <c r="A591" s="1" t="s">
        <v>1177</v>
      </c>
      <c r="B591" s="2">
        <f>HYPERLINK("https://www.omim.org/entry/603474",603474)</f>
        <v>603474</v>
      </c>
      <c r="C591" s="3">
        <f>HYPERLINK("https://www.omim.org/entry/105650",105650)</f>
        <v>105650</v>
      </c>
      <c r="I591" s="6" t="s">
        <v>2069</v>
      </c>
    </row>
    <row r="592" spans="1:9" ht="15" x14ac:dyDescent="0.25">
      <c r="A592" s="1" t="s">
        <v>1179</v>
      </c>
      <c r="B592" s="2">
        <f>HYPERLINK("https://www.omim.org/entry/602412",602412)</f>
        <v>602412</v>
      </c>
      <c r="C592" s="3">
        <f>HYPERLINK("https://www.omim.org/entry/610629",610629)</f>
        <v>610629</v>
      </c>
      <c r="I592" s="6" t="s">
        <v>2070</v>
      </c>
    </row>
    <row r="593" spans="1:9" ht="15" x14ac:dyDescent="0.25">
      <c r="A593" s="1" t="s">
        <v>1181</v>
      </c>
      <c r="B593" s="2">
        <f>HYPERLINK("https://www.omim.org/entry/603701",603701)</f>
        <v>603701</v>
      </c>
      <c r="C593" s="3">
        <f>HYPERLINK("https://www.omim.org/entry/613309",613309)</f>
        <v>613309</v>
      </c>
      <c r="I593" s="6" t="s">
        <v>2071</v>
      </c>
    </row>
    <row r="594" spans="1:9" ht="15" x14ac:dyDescent="0.25">
      <c r="A594" s="1" t="s">
        <v>1183</v>
      </c>
      <c r="B594" s="2">
        <f>HYPERLINK("https://www.omim.org/entry/603702",603702)</f>
        <v>603702</v>
      </c>
      <c r="C594" s="3">
        <f>HYPERLINK("https://www.omim.org/entry/617409",617409)</f>
        <v>617409</v>
      </c>
      <c r="I594" s="6" t="s">
        <v>2072</v>
      </c>
    </row>
    <row r="595" spans="1:9" ht="15" x14ac:dyDescent="0.25">
      <c r="A595" s="1" t="s">
        <v>1185</v>
      </c>
      <c r="B595" s="2">
        <f>HYPERLINK("https://www.omim.org/entry/603685",603685)</f>
        <v>603685</v>
      </c>
      <c r="C595" s="3">
        <f>HYPERLINK("https://www.omim.org/entry/606164",606164)</f>
        <v>606164</v>
      </c>
      <c r="I595" s="6" t="s">
        <v>1186</v>
      </c>
    </row>
    <row r="596" spans="1:9" ht="15" x14ac:dyDescent="0.25">
      <c r="A596" s="1" t="s">
        <v>1187</v>
      </c>
      <c r="B596" s="2">
        <f>HYPERLINK("https://www.omim.org/entry/603633",603633)</f>
        <v>603633</v>
      </c>
      <c r="C596" s="3">
        <f>HYPERLINK("https://www.omim.org/entry/615909",615909)</f>
        <v>615909</v>
      </c>
      <c r="I596" s="6" t="s">
        <v>2073</v>
      </c>
    </row>
    <row r="597" spans="1:9" ht="15" x14ac:dyDescent="0.25">
      <c r="A597" s="1" t="s">
        <v>1189</v>
      </c>
      <c r="B597" s="2">
        <f>HYPERLINK("https://www.omim.org/entry/603658",603658)</f>
        <v>603658</v>
      </c>
      <c r="C597" s="3">
        <f>HYPERLINK("https://www.omim.org/entry/612563",612563)</f>
        <v>612563</v>
      </c>
      <c r="I597" s="6" t="s">
        <v>2074</v>
      </c>
    </row>
    <row r="598" spans="1:9" ht="15" x14ac:dyDescent="0.25">
      <c r="A598" s="1" t="s">
        <v>1191</v>
      </c>
      <c r="B598" s="2">
        <f>HYPERLINK("https://www.omim.org/entry/600098",600098)</f>
        <v>600098</v>
      </c>
      <c r="C598" s="3">
        <f>HYPERLINK("https://www.omim.org/entry/618624",618624)</f>
        <v>618624</v>
      </c>
      <c r="I598" s="6" t="s">
        <v>2075</v>
      </c>
    </row>
    <row r="599" spans="1:9" ht="15" x14ac:dyDescent="0.25">
      <c r="A599" s="1" t="s">
        <v>1193</v>
      </c>
      <c r="B599" s="2">
        <f>HYPERLINK("https://www.omim.org/entry/609314",609314)</f>
        <v>609314</v>
      </c>
      <c r="C599" s="3">
        <f>HYPERLINK("https://www.omim.org/entry/615481",615481)</f>
        <v>615481</v>
      </c>
      <c r="I599" s="6" t="s">
        <v>2076</v>
      </c>
    </row>
    <row r="600" spans="1:9" ht="15" x14ac:dyDescent="0.25">
      <c r="A600" s="1" t="s">
        <v>1195</v>
      </c>
      <c r="B600" s="2">
        <f>HYPERLINK("https://www.omim.org/entry/615876",615876)</f>
        <v>615876</v>
      </c>
      <c r="C600" s="3">
        <f>HYPERLINK("https://www.omim.org/entry/616481",616481)</f>
        <v>616481</v>
      </c>
      <c r="I600" s="6" t="s">
        <v>2077</v>
      </c>
    </row>
    <row r="601" spans="1:9" ht="15" x14ac:dyDescent="0.25">
      <c r="A601" s="1" t="s">
        <v>1197</v>
      </c>
      <c r="B601" s="2">
        <f>HYPERLINK("https://www.omim.org/entry/612647",612647)</f>
        <v>612647</v>
      </c>
      <c r="C601" s="3">
        <f>HYPERLINK("https://www.omim.org/entry/612649",612649)</f>
        <v>612649</v>
      </c>
      <c r="I601" s="6" t="s">
        <v>2078</v>
      </c>
    </row>
    <row r="602" spans="1:9" ht="15" x14ac:dyDescent="0.25">
      <c r="A602" s="1" t="s">
        <v>1199</v>
      </c>
      <c r="B602" s="2">
        <f>HYPERLINK("https://www.omim.org/entry/612648",612648)</f>
        <v>612648</v>
      </c>
      <c r="C602" s="3">
        <f>HYPERLINK("https://www.omim.org/entry/612650",612650)</f>
        <v>612650</v>
      </c>
      <c r="I602" s="6" t="s">
        <v>2079</v>
      </c>
    </row>
    <row r="603" spans="1:9" ht="15" x14ac:dyDescent="0.25">
      <c r="A603" s="1" t="s">
        <v>1201</v>
      </c>
      <c r="B603" s="2">
        <f>HYPERLINK("https://www.omim.org/entry/180901",180901)</f>
        <v>180901</v>
      </c>
      <c r="C603" s="3">
        <f>HYPERLINK("https://www.omim.org/entry/145600",145600)</f>
        <v>145600</v>
      </c>
      <c r="I603" s="6" t="s">
        <v>2080</v>
      </c>
    </row>
    <row r="604" spans="1:9" ht="15" x14ac:dyDescent="0.25">
      <c r="A604" s="1" t="s">
        <v>1203</v>
      </c>
      <c r="B604" s="2">
        <f>HYPERLINK("https://www.omim.org/entry/180902",180902)</f>
        <v>180902</v>
      </c>
      <c r="C604" s="3">
        <f>HYPERLINK("https://www.omim.org/entry/604772",604772)</f>
        <v>604772</v>
      </c>
      <c r="I604" s="6" t="s">
        <v>2081</v>
      </c>
    </row>
    <row r="605" spans="1:9" ht="15" x14ac:dyDescent="0.25">
      <c r="A605" s="1" t="s">
        <v>1205</v>
      </c>
      <c r="B605" s="2">
        <f>HYPERLINK("https://www.omim.org/entry/605111",605111)</f>
        <v>605111</v>
      </c>
      <c r="C605" s="3">
        <f>HYPERLINK("https://www.omim.org/entry/610419",610419)</f>
        <v>610419</v>
      </c>
      <c r="I605" s="6" t="s">
        <v>2082</v>
      </c>
    </row>
    <row r="606" spans="1:9" ht="15" x14ac:dyDescent="0.25">
      <c r="A606" s="1" t="s">
        <v>1207</v>
      </c>
      <c r="B606" s="2">
        <f>HYPERLINK("https://www.omim.org/entry/606754",606754)</f>
        <v>606754</v>
      </c>
      <c r="C606" s="3">
        <f>HYPERLINK("https://www.omim.org/entry/612952",612952)</f>
        <v>612952</v>
      </c>
      <c r="I606" s="6" t="s">
        <v>2083</v>
      </c>
    </row>
    <row r="607" spans="1:9" ht="15" x14ac:dyDescent="0.25">
      <c r="A607" s="1" t="s">
        <v>1209</v>
      </c>
      <c r="B607" s="2">
        <f>HYPERLINK("https://www.omim.org/entry/607690",607690)</f>
        <v>607690</v>
      </c>
      <c r="C607" s="3">
        <f>HYPERLINK("https://www.omim.org/entry/246700",246700)</f>
        <v>246700</v>
      </c>
      <c r="I607" s="6" t="s">
        <v>2084</v>
      </c>
    </row>
    <row r="608" spans="1:9" ht="15" x14ac:dyDescent="0.25">
      <c r="A608" s="1" t="s">
        <v>1211</v>
      </c>
      <c r="B608" s="2">
        <f>HYPERLINK("https://www.omim.org/entry/607444",607444)</f>
        <v>607444</v>
      </c>
      <c r="C608" s="3">
        <f>HYPERLINK("https://www.omim.org/entry/260400",260400)</f>
        <v>260400</v>
      </c>
      <c r="I608" s="6" t="s">
        <v>2085</v>
      </c>
    </row>
    <row r="609" spans="1:9" ht="15" x14ac:dyDescent="0.25">
      <c r="A609" s="1" t="s">
        <v>1213</v>
      </c>
      <c r="B609" s="2">
        <f>HYPERLINK("https://www.omim.org/entry/603967",603967)</f>
        <v>603967</v>
      </c>
      <c r="C609" s="3">
        <f>HYPERLINK("https://www.omim.org/entry/613345",613345)</f>
        <v>613345</v>
      </c>
      <c r="D609" s="15">
        <f>HYPERLINK("https://www.omim.org/entry/614198",614198)</f>
        <v>614198</v>
      </c>
      <c r="I609" s="6" t="s">
        <v>2086</v>
      </c>
    </row>
    <row r="610" spans="1:9" ht="15" x14ac:dyDescent="0.25">
      <c r="A610" s="1" t="s">
        <v>1215</v>
      </c>
      <c r="B610" s="2">
        <f>HYPERLINK("https://www.omim.org/entry/600163",600163)</f>
        <v>600163</v>
      </c>
      <c r="C610" s="3">
        <f>HYPERLINK("https://www.omim.org/entry/603830",603830)</f>
        <v>603830</v>
      </c>
      <c r="I610" s="6" t="s">
        <v>2087</v>
      </c>
    </row>
    <row r="611" spans="1:9" ht="15" x14ac:dyDescent="0.25">
      <c r="A611" s="1" t="s">
        <v>1217</v>
      </c>
      <c r="B611" s="2">
        <f>HYPERLINK("https://www.omim.org/entry/600228",600228)</f>
        <v>600228</v>
      </c>
      <c r="C611" s="3">
        <f>HYPERLINK("https://www.omim.org/entry/264350",264350)</f>
        <v>264350</v>
      </c>
      <c r="D611" s="15">
        <f>HYPERLINK("https://www.omim.org/entry/613021",613021)</f>
        <v>613021</v>
      </c>
      <c r="I611" s="6" t="s">
        <v>2088</v>
      </c>
    </row>
    <row r="612" spans="1:9" ht="15" x14ac:dyDescent="0.25">
      <c r="A612" s="1" t="s">
        <v>1219</v>
      </c>
      <c r="B612" s="2">
        <f>HYPERLINK("https://www.omim.org/entry/600760",600760)</f>
        <v>600760</v>
      </c>
      <c r="C612" s="3">
        <f>HYPERLINK("https://www.omim.org/entry/620125",620125)</f>
        <v>620125</v>
      </c>
      <c r="I612" s="6" t="s">
        <v>2089</v>
      </c>
    </row>
    <row r="613" spans="1:9" ht="15" x14ac:dyDescent="0.25">
      <c r="A613" s="1" t="s">
        <v>1221</v>
      </c>
      <c r="B613" s="2">
        <f>HYPERLINK("https://www.omim.org/entry/600761",600761)</f>
        <v>600761</v>
      </c>
      <c r="C613" s="3">
        <f>HYPERLINK("https://www.omim.org/entry/620126",620126)</f>
        <v>620126</v>
      </c>
      <c r="I613" s="6" t="s">
        <v>2090</v>
      </c>
    </row>
    <row r="614" spans="1:9" ht="15" x14ac:dyDescent="0.25">
      <c r="A614" s="1" t="s">
        <v>1223</v>
      </c>
      <c r="B614" s="2">
        <f>HYPERLINK("https://www.omim.org/entry/607693",607693)</f>
        <v>607693</v>
      </c>
      <c r="C614" s="3">
        <f>HYPERLINK("https://www.omim.org/entry/609698",609698)</f>
        <v>609698</v>
      </c>
      <c r="I614" s="6" t="s">
        <v>2091</v>
      </c>
    </row>
    <row r="615" spans="1:9" ht="15" x14ac:dyDescent="0.25">
      <c r="A615" s="1" t="s">
        <v>1225</v>
      </c>
      <c r="B615" s="2">
        <f>HYPERLINK("https://www.omim.org/entry/606860",606860)</f>
        <v>606860</v>
      </c>
      <c r="C615" s="3">
        <f>HYPERLINK("https://www.omim.org/entry/106100",106100)</f>
        <v>106100</v>
      </c>
      <c r="I615" s="6" t="s">
        <v>2092</v>
      </c>
    </row>
    <row r="616" spans="1:9" ht="15" x14ac:dyDescent="0.25">
      <c r="A616" s="1" t="s">
        <v>1227</v>
      </c>
      <c r="B616" s="2">
        <f>HYPERLINK("https://www.omim.org/entry/178620",178620)</f>
        <v>178620</v>
      </c>
      <c r="C616" s="3">
        <f>HYPERLINK("https://www.omim.org/entry/610913",610913)</f>
        <v>610913</v>
      </c>
      <c r="I616" s="6" t="s">
        <v>2093</v>
      </c>
    </row>
    <row r="617" spans="1:9" ht="15" x14ac:dyDescent="0.25">
      <c r="A617" s="1" t="s">
        <v>1229</v>
      </c>
      <c r="B617" s="2">
        <f>HYPERLINK("https://www.omim.org/entry/603729",603729)</f>
        <v>603729</v>
      </c>
      <c r="C617" s="3">
        <f>HYPERLINK("https://www.omim.org/entry/617575",617575)</f>
        <v>617575</v>
      </c>
      <c r="I617" s="6" t="s">
        <v>2094</v>
      </c>
    </row>
    <row r="618" spans="1:9" ht="15" x14ac:dyDescent="0.25">
      <c r="A618" s="1" t="s">
        <v>1231</v>
      </c>
      <c r="B618" s="2">
        <f>HYPERLINK("https://www.omim.org/entry/300490",300490)</f>
        <v>300490</v>
      </c>
      <c r="C618" s="3">
        <f>HYPERLINK("https://www.omim.org/entry/308240",308240)</f>
        <v>308240</v>
      </c>
      <c r="I618" s="6" t="s">
        <v>2095</v>
      </c>
    </row>
    <row r="619" spans="1:9" ht="15" x14ac:dyDescent="0.25">
      <c r="A619" s="1" t="s">
        <v>1233</v>
      </c>
      <c r="B619" s="2">
        <f>HYPERLINK("https://www.omim.org/entry/602775",602775)</f>
        <v>602775</v>
      </c>
      <c r="C619" s="3">
        <f>HYPERLINK("https://www.omim.org/entry/607721",607721)</f>
        <v>607721</v>
      </c>
      <c r="I619" s="6" t="s">
        <v>2096</v>
      </c>
    </row>
    <row r="620" spans="1:9" ht="15" x14ac:dyDescent="0.25">
      <c r="A620" s="1" t="s">
        <v>1235</v>
      </c>
      <c r="B620" s="2">
        <f>HYPERLINK("https://www.omim.org/entry/609845",609845)</f>
        <v>609845</v>
      </c>
      <c r="C620" s="3">
        <f>HYPERLINK("https://www.omim.org/entry/222900",222900)</f>
        <v>222900</v>
      </c>
      <c r="I620" s="6" t="s">
        <v>2097</v>
      </c>
    </row>
    <row r="621" spans="1:9" ht="15" x14ac:dyDescent="0.25">
      <c r="A621" s="1" t="s">
        <v>1237</v>
      </c>
      <c r="B621" s="2">
        <f>HYPERLINK("https://www.omim.org/entry/601205",601205)</f>
        <v>601205</v>
      </c>
      <c r="C621" s="3">
        <f>HYPERLINK("https://www.omim.org/entry/608389",608389)</f>
        <v>608389</v>
      </c>
      <c r="I621" s="6" t="s">
        <v>2098</v>
      </c>
    </row>
    <row r="622" spans="1:9" ht="15" x14ac:dyDescent="0.25">
      <c r="A622" s="1" t="s">
        <v>1239</v>
      </c>
      <c r="B622" s="2">
        <f>HYPERLINK("https://www.omim.org/entry/600839",600839)</f>
        <v>600839</v>
      </c>
      <c r="C622" s="3">
        <f>HYPERLINK("https://www.omim.org/entry/601678",601678)</f>
        <v>601678</v>
      </c>
      <c r="I622" s="6" t="s">
        <v>2099</v>
      </c>
    </row>
    <row r="623" spans="1:9" ht="15" x14ac:dyDescent="0.25">
      <c r="A623" s="1" t="s">
        <v>1241</v>
      </c>
      <c r="B623" s="2">
        <f>HYPERLINK("https://www.omim.org/entry/600682",600682)</f>
        <v>600682</v>
      </c>
      <c r="C623" s="3">
        <f>HYPERLINK("https://www.omim.org/entry/616095",616095)</f>
        <v>616095</v>
      </c>
      <c r="I623" s="6" t="s">
        <v>2100</v>
      </c>
    </row>
    <row r="624" spans="1:9" ht="15" x14ac:dyDescent="0.25">
      <c r="A624" s="1" t="s">
        <v>1243</v>
      </c>
      <c r="B624" s="2">
        <f>HYPERLINK("https://www.omim.org/entry/607557",607557)</f>
        <v>607557</v>
      </c>
      <c r="C624" s="3">
        <f>HYPERLINK("https://www.omim.org/entry/605583",605583)</f>
        <v>605583</v>
      </c>
      <c r="I624" s="6" t="s">
        <v>2101</v>
      </c>
    </row>
    <row r="625" spans="1:9" ht="15" x14ac:dyDescent="0.25">
      <c r="A625" s="1" t="s">
        <v>1245</v>
      </c>
      <c r="B625" s="2">
        <f>HYPERLINK("https://www.omim.org/entry/600336",600336)</f>
        <v>600336</v>
      </c>
      <c r="C625" s="3">
        <f>HYPERLINK("https://www.omim.org/entry/617239",617239)</f>
        <v>617239</v>
      </c>
      <c r="I625" s="6" t="s">
        <v>2102</v>
      </c>
    </row>
    <row r="626" spans="1:9" ht="15" x14ac:dyDescent="0.25">
      <c r="A626" s="1" t="s">
        <v>1247</v>
      </c>
      <c r="B626" s="2">
        <f>HYPERLINK("https://www.omim.org/entry/600424",600424)</f>
        <v>600424</v>
      </c>
      <c r="C626" s="3">
        <f>HYPERLINK("https://www.omim.org/entry/620603",620603)</f>
        <v>620603</v>
      </c>
      <c r="D626" s="15">
        <f>HYPERLINK("https://www.omim.org/entry/601775",601775)</f>
        <v>601775</v>
      </c>
      <c r="I626" s="6" t="s">
        <v>2103</v>
      </c>
    </row>
    <row r="627" spans="1:9" ht="15" x14ac:dyDescent="0.25">
      <c r="A627" s="1" t="s">
        <v>1249</v>
      </c>
      <c r="B627" s="2">
        <f>HYPERLINK("https://www.omim.org/entry/603941",603941)</f>
        <v>603941</v>
      </c>
      <c r="C627" s="3">
        <f>HYPERLINK("https://www.omim.org/entry/249270",249270)</f>
        <v>249270</v>
      </c>
      <c r="I627" s="6" t="s">
        <v>2104</v>
      </c>
    </row>
    <row r="628" spans="1:9" ht="15" x14ac:dyDescent="0.25">
      <c r="A628" s="1" t="s">
        <v>1251</v>
      </c>
      <c r="B628" s="2">
        <f>HYPERLINK("https://www.omim.org/entry/606152",606152)</f>
        <v>606152</v>
      </c>
      <c r="C628" s="3">
        <f>HYPERLINK("https://www.omim.org/entry/607483",607483)</f>
        <v>607483</v>
      </c>
      <c r="I628" s="6" t="s">
        <v>2105</v>
      </c>
    </row>
    <row r="629" spans="1:9" ht="15" x14ac:dyDescent="0.25">
      <c r="A629" s="1" t="s">
        <v>1253</v>
      </c>
      <c r="B629" s="2">
        <f>HYPERLINK("https://www.omim.org/entry/603377",603377)</f>
        <v>603377</v>
      </c>
      <c r="C629" s="3">
        <f>HYPERLINK("https://www.omim.org/entry/212140",212140)</f>
        <v>212140</v>
      </c>
      <c r="I629" s="6" t="s">
        <v>2106</v>
      </c>
    </row>
    <row r="630" spans="1:9" ht="15" x14ac:dyDescent="0.25">
      <c r="A630" s="1" t="s">
        <v>1255</v>
      </c>
      <c r="B630" s="2">
        <f>HYPERLINK("https://www.omim.org/entry/190315",190315)</f>
        <v>190315</v>
      </c>
      <c r="C630" s="3">
        <f>HYPERLINK("https://www.omim.org/entry/618197",618197)</f>
        <v>618197</v>
      </c>
      <c r="I630" s="6" t="s">
        <v>2107</v>
      </c>
    </row>
    <row r="631" spans="1:9" ht="15" x14ac:dyDescent="0.25">
      <c r="A631" s="1" t="s">
        <v>1257</v>
      </c>
      <c r="B631" s="2">
        <f>HYPERLINK("https://www.omim.org/entry/603859",603859)</f>
        <v>603859</v>
      </c>
      <c r="C631" s="3">
        <f>HYPERLINK("https://www.omim.org/entry/605814",605814)</f>
        <v>605814</v>
      </c>
      <c r="I631" s="6" t="s">
        <v>2108</v>
      </c>
    </row>
    <row r="632" spans="1:9" ht="15" x14ac:dyDescent="0.25">
      <c r="A632" s="1" t="s">
        <v>1259</v>
      </c>
      <c r="B632" s="2">
        <f>HYPERLINK("https://www.omim.org/entry/603861",603861)</f>
        <v>603861</v>
      </c>
      <c r="C632" s="3">
        <f>HYPERLINK("https://www.omim.org/entry/238970",238970)</f>
        <v>238970</v>
      </c>
      <c r="I632" s="6" t="s">
        <v>2109</v>
      </c>
    </row>
    <row r="633" spans="1:9" ht="15" x14ac:dyDescent="0.25">
      <c r="A633" s="1" t="s">
        <v>1261</v>
      </c>
      <c r="B633" s="2">
        <f>HYPERLINK("https://www.omim.org/entry/606521",606521)</f>
        <v>606521</v>
      </c>
      <c r="C633" s="3">
        <f>HYPERLINK("https://www.omim.org/entry/613710",613710)</f>
        <v>613710</v>
      </c>
      <c r="I633" s="6" t="s">
        <v>2110</v>
      </c>
    </row>
    <row r="634" spans="1:9" ht="15" x14ac:dyDescent="0.25">
      <c r="A634" s="1" t="s">
        <v>1263</v>
      </c>
      <c r="B634" s="2">
        <f>HYPERLINK("https://www.omim.org/entry/613698",613698)</f>
        <v>613698</v>
      </c>
      <c r="C634" s="3">
        <f>HYPERLINK("https://www.omim.org/entry/212138",212138)</f>
        <v>212138</v>
      </c>
      <c r="I634" s="6" t="s">
        <v>2111</v>
      </c>
    </row>
    <row r="635" spans="1:9" ht="15" x14ac:dyDescent="0.25">
      <c r="A635" s="1" t="s">
        <v>1265</v>
      </c>
      <c r="B635" s="2">
        <f>HYPERLINK("https://www.omim.org/entry/138480",138480)</f>
        <v>138480</v>
      </c>
      <c r="C635" s="3">
        <f>HYPERLINK("https://www.omim.org/entry/616839",616839)</f>
        <v>616839</v>
      </c>
      <c r="I635" s="6" t="s">
        <v>2112</v>
      </c>
    </row>
    <row r="636" spans="1:9" ht="15" x14ac:dyDescent="0.25">
      <c r="A636" s="1" t="s">
        <v>1267</v>
      </c>
      <c r="B636" s="2">
        <f>HYPERLINK("https://www.omim.org/entry/610819",610819)</f>
        <v>610819</v>
      </c>
      <c r="C636" s="3">
        <f>HYPERLINK("https://www.omim.org/entry/205950",205950)</f>
        <v>205950</v>
      </c>
      <c r="I636" s="6" t="s">
        <v>2113</v>
      </c>
    </row>
    <row r="637" spans="1:9" ht="15" x14ac:dyDescent="0.25">
      <c r="A637" s="1" t="s">
        <v>1269</v>
      </c>
      <c r="B637" s="2">
        <f>HYPERLINK("https://www.omim.org/entry/126650",126650)</f>
        <v>126650</v>
      </c>
      <c r="C637" s="3">
        <f>HYPERLINK("https://www.omim.org/entry/214700",214700)</f>
        <v>214700</v>
      </c>
      <c r="I637" s="6" t="s">
        <v>2114</v>
      </c>
    </row>
    <row r="638" spans="1:9" ht="15" x14ac:dyDescent="0.25">
      <c r="A638" s="1" t="s">
        <v>1271</v>
      </c>
      <c r="B638" s="2">
        <f>HYPERLINK("https://www.omim.org/entry/605646",605646)</f>
        <v>605646</v>
      </c>
      <c r="C638" s="3">
        <f>HYPERLINK("https://www.omim.org/entry/274600",274600)</f>
        <v>274600</v>
      </c>
      <c r="I638" s="6" t="s">
        <v>2115</v>
      </c>
    </row>
    <row r="639" spans="1:9" ht="15" x14ac:dyDescent="0.25">
      <c r="A639" s="1" t="s">
        <v>1273</v>
      </c>
      <c r="B639" s="2">
        <f>HYPERLINK("https://www.omim.org/entry/138140",138140)</f>
        <v>138140</v>
      </c>
      <c r="C639" s="3">
        <f>HYPERLINK("https://www.omim.org/entry/606777",606777)</f>
        <v>606777</v>
      </c>
      <c r="I639" s="6" t="s">
        <v>2116</v>
      </c>
    </row>
    <row r="640" spans="1:9" ht="15" x14ac:dyDescent="0.25">
      <c r="A640" s="1" t="s">
        <v>1275</v>
      </c>
      <c r="B640" s="2">
        <f>HYPERLINK("https://www.omim.org/entry/606145",606145)</f>
        <v>606145</v>
      </c>
      <c r="C640" s="3">
        <f>HYPERLINK("https://www.omim.org/entry/208050",208050)</f>
        <v>208050</v>
      </c>
      <c r="I640" s="6" t="s">
        <v>2117</v>
      </c>
    </row>
    <row r="641" spans="1:9" ht="15" x14ac:dyDescent="0.25">
      <c r="A641" s="1" t="s">
        <v>1277</v>
      </c>
      <c r="B641" s="2">
        <f>HYPERLINK("https://www.omim.org/entry/138160",138160)</f>
        <v>138160</v>
      </c>
      <c r="C641" s="3">
        <f>HYPERLINK("https://www.omim.org/entry/227810",227810)</f>
        <v>227810</v>
      </c>
      <c r="I641" s="6" t="s">
        <v>2118</v>
      </c>
    </row>
    <row r="642" spans="1:9" ht="15" x14ac:dyDescent="0.25">
      <c r="A642" s="1" t="s">
        <v>1279</v>
      </c>
      <c r="B642" s="2">
        <f>HYPERLINK("https://www.omim.org/entry/611146",611146)</f>
        <v>611146</v>
      </c>
      <c r="C642" s="3">
        <f>HYPERLINK("https://www.omim.org/entry/613280",613280)</f>
        <v>613280</v>
      </c>
      <c r="I642" s="6" t="s">
        <v>2119</v>
      </c>
    </row>
    <row r="643" spans="1:9" ht="15" x14ac:dyDescent="0.25">
      <c r="A643" s="1" t="s">
        <v>1281</v>
      </c>
      <c r="B643" s="2">
        <f>HYPERLINK("https://www.omim.org/entry/609826",609826)</f>
        <v>609826</v>
      </c>
      <c r="C643" s="3">
        <f>HYPERLINK("https://www.omim.org/entry/241530",241530)</f>
        <v>241530</v>
      </c>
      <c r="I643" s="6" t="s">
        <v>2120</v>
      </c>
    </row>
    <row r="644" spans="1:9" ht="15" x14ac:dyDescent="0.25">
      <c r="A644" s="1" t="s">
        <v>1283</v>
      </c>
      <c r="B644" s="2">
        <f>HYPERLINK("https://www.omim.org/entry/602671",602671)</f>
        <v>602671</v>
      </c>
      <c r="C644" s="3">
        <f>HYPERLINK("https://www.omim.org/entry/232220",232220)</f>
        <v>232220</v>
      </c>
      <c r="D644" s="15">
        <f>HYPERLINK("https://www.omim.org/entry/232240",232240)</f>
        <v>232240</v>
      </c>
      <c r="I644" s="6" t="s">
        <v>2121</v>
      </c>
    </row>
    <row r="645" spans="1:9" ht="15" x14ac:dyDescent="0.25">
      <c r="A645" s="1" t="s">
        <v>1285</v>
      </c>
      <c r="B645" s="2">
        <f>HYPERLINK("https://www.omim.org/entry/607059",607059)</f>
        <v>607059</v>
      </c>
      <c r="C645" s="3">
        <f>HYPERLINK("https://www.omim.org/entry/201100",201100)</f>
        <v>201100</v>
      </c>
      <c r="I645" s="6" t="s">
        <v>2122</v>
      </c>
    </row>
    <row r="646" spans="1:9" ht="15" x14ac:dyDescent="0.25">
      <c r="A646" s="1" t="s">
        <v>1287</v>
      </c>
      <c r="B646" s="2">
        <f>HYPERLINK("https://www.omim.org/entry/601416",601416)</f>
        <v>601416</v>
      </c>
      <c r="C646" s="3">
        <f>HYPERLINK("https://www.omim.org/entry/619693",619693)</f>
        <v>619693</v>
      </c>
      <c r="I646" s="6" t="s">
        <v>2123</v>
      </c>
    </row>
    <row r="647" spans="1:9" ht="15" x14ac:dyDescent="0.25">
      <c r="A647" s="1" t="s">
        <v>1289</v>
      </c>
      <c r="B647" s="2">
        <f>HYPERLINK("https://www.omim.org/entry/608732",608732)</f>
        <v>608732</v>
      </c>
      <c r="C647" s="3">
        <f>HYPERLINK("https://www.omim.org/entry/616721",616721)</f>
        <v>616721</v>
      </c>
      <c r="I647" s="6" t="s">
        <v>2124</v>
      </c>
    </row>
    <row r="648" spans="1:9" ht="15" x14ac:dyDescent="0.25">
      <c r="A648" s="1" t="s">
        <v>1291</v>
      </c>
      <c r="B648" s="2">
        <f>HYPERLINK("https://www.omim.org/entry/104614",104614)</f>
        <v>104614</v>
      </c>
      <c r="C648" s="3">
        <f>HYPERLINK("https://www.omim.org/entry/220100",220100)</f>
        <v>220100</v>
      </c>
      <c r="I648" s="6" t="s">
        <v>2125</v>
      </c>
    </row>
    <row r="649" spans="1:9" ht="15" x14ac:dyDescent="0.25">
      <c r="A649" s="1" t="s">
        <v>1293</v>
      </c>
      <c r="B649" s="2">
        <f>HYPERLINK("https://www.omim.org/entry/611672",611672)</f>
        <v>611672</v>
      </c>
      <c r="C649" s="3">
        <f>HYPERLINK("https://www.omim.org/entry/229050",229050)</f>
        <v>229050</v>
      </c>
      <c r="I649" s="6" t="s">
        <v>2126</v>
      </c>
    </row>
    <row r="650" spans="1:9" ht="15" x14ac:dyDescent="0.25">
      <c r="A650" s="1" t="s">
        <v>1295</v>
      </c>
      <c r="B650" s="2">
        <f>HYPERLINK("https://www.omim.org/entry/109270",109270)</f>
        <v>109270</v>
      </c>
      <c r="C650" s="3">
        <f>HYPERLINK("https://www.omim.org/entry/179800",179800)</f>
        <v>179800</v>
      </c>
      <c r="D650" s="15">
        <f>HYPERLINK("https://www.omim.org/entry/611590",611590)</f>
        <v>611590</v>
      </c>
      <c r="I650" s="6" t="s">
        <v>2127</v>
      </c>
    </row>
    <row r="651" spans="1:9" ht="15" x14ac:dyDescent="0.25">
      <c r="A651" s="1" t="s">
        <v>1297</v>
      </c>
      <c r="B651" s="2">
        <f>HYPERLINK("https://www.omim.org/entry/607883",607883)</f>
        <v>607883</v>
      </c>
      <c r="C651" s="3">
        <f>HYPERLINK("https://www.omim.org/entry/615026",615026)</f>
        <v>615026</v>
      </c>
      <c r="I651" s="6" t="s">
        <v>2128</v>
      </c>
    </row>
    <row r="652" spans="1:9" ht="15" x14ac:dyDescent="0.25">
      <c r="A652" s="1" t="s">
        <v>1299</v>
      </c>
      <c r="B652" s="2">
        <f>HYPERLINK("https://www.omim.org/entry/607882",607882)</f>
        <v>607882</v>
      </c>
      <c r="C652" s="3">
        <f>HYPERLINK("https://www.omim.org/entry/614707",614707)</f>
        <v>614707</v>
      </c>
      <c r="I652" s="6" t="s">
        <v>2129</v>
      </c>
    </row>
    <row r="653" spans="1:9" ht="15" x14ac:dyDescent="0.25">
      <c r="A653" s="1" t="s">
        <v>1301</v>
      </c>
      <c r="B653" s="2">
        <f>HYPERLINK("https://www.omim.org/entry/613350",613350)</f>
        <v>613350</v>
      </c>
      <c r="C653" s="3">
        <f>HYPERLINK("https://www.omim.org/entry/211530",211530)</f>
        <v>211530</v>
      </c>
      <c r="I653" s="6" t="s">
        <v>2130</v>
      </c>
    </row>
    <row r="654" spans="1:9" ht="15" x14ac:dyDescent="0.25">
      <c r="A654" s="1" t="s">
        <v>1303</v>
      </c>
      <c r="B654" s="2">
        <f>HYPERLINK("https://www.omim.org/entry/182380",182380)</f>
        <v>182380</v>
      </c>
      <c r="C654" s="3">
        <f>HYPERLINK("https://www.omim.org/entry/606824",606824)</f>
        <v>606824</v>
      </c>
      <c r="I654" s="6" t="s">
        <v>2131</v>
      </c>
    </row>
    <row r="655" spans="1:9" ht="15" x14ac:dyDescent="0.25">
      <c r="A655" s="1" t="s">
        <v>1305</v>
      </c>
      <c r="B655" s="2">
        <f>HYPERLINK("https://www.omim.org/entry/601843",601843)</f>
        <v>601843</v>
      </c>
      <c r="C655" s="3">
        <f>HYPERLINK("https://www.omim.org/entry/274400",274400)</f>
        <v>274400</v>
      </c>
      <c r="I655" s="6" t="s">
        <v>2132</v>
      </c>
    </row>
    <row r="656" spans="1:9" ht="15" x14ac:dyDescent="0.25">
      <c r="A656" s="1" t="s">
        <v>1307</v>
      </c>
      <c r="B656" s="2">
        <f>HYPERLINK("https://www.omim.org/entry/604024",604024)</f>
        <v>604024</v>
      </c>
      <c r="C656" s="3">
        <f>HYPERLINK("https://www.omim.org/entry/618973",618973)</f>
        <v>618973</v>
      </c>
      <c r="D656" s="15">
        <f>HYPERLINK("https://www.omim.org/entry/619903",619903)</f>
        <v>619903</v>
      </c>
      <c r="I656" s="6" t="s">
        <v>2133</v>
      </c>
    </row>
    <row r="657" spans="1:9" ht="15" x14ac:dyDescent="0.25">
      <c r="A657" s="1" t="s">
        <v>1309</v>
      </c>
      <c r="B657" s="2">
        <f>HYPERLINK("https://www.omim.org/entry/608761",608761)</f>
        <v>608761</v>
      </c>
      <c r="C657" s="3">
        <f>HYPERLINK("https://www.omim.org/entry/617143",617143)</f>
        <v>617143</v>
      </c>
      <c r="I657" s="6" t="s">
        <v>2134</v>
      </c>
    </row>
    <row r="658" spans="1:9" ht="15" x14ac:dyDescent="0.25">
      <c r="A658" s="1" t="s">
        <v>1311</v>
      </c>
      <c r="B658" s="2">
        <f>HYPERLINK("https://www.omim.org/entry/604159",604159)</f>
        <v>604159</v>
      </c>
      <c r="C658" s="3">
        <f>HYPERLINK("https://www.omim.org/entry/614618",614618)</f>
        <v>614618</v>
      </c>
      <c r="I658" s="6" t="s">
        <v>2135</v>
      </c>
    </row>
    <row r="659" spans="1:9" ht="15" x14ac:dyDescent="0.25">
      <c r="A659" s="1" t="s">
        <v>1313</v>
      </c>
      <c r="B659" s="2">
        <f>HYPERLINK("https://www.omim.org/entry/186854",186854)</f>
        <v>186854</v>
      </c>
      <c r="C659" s="3">
        <f>HYPERLINK("https://www.omim.org/entry/145350",145350)</f>
        <v>145350</v>
      </c>
      <c r="I659" s="6" t="s">
        <v>2136</v>
      </c>
    </row>
    <row r="660" spans="1:9" ht="15" x14ac:dyDescent="0.25">
      <c r="A660" s="1" t="s">
        <v>1315</v>
      </c>
      <c r="B660" s="2">
        <f>HYPERLINK("https://www.omim.org/entry/300036",300036)</f>
        <v>300036</v>
      </c>
      <c r="C660" s="3">
        <f>HYPERLINK("https://www.omim.org/entry/300352",300352)</f>
        <v>300352</v>
      </c>
      <c r="I660" s="6" t="s">
        <v>2137</v>
      </c>
    </row>
    <row r="661" spans="1:9" ht="15" x14ac:dyDescent="0.25">
      <c r="A661" s="1" t="s">
        <v>1317</v>
      </c>
      <c r="B661" s="2">
        <f>HYPERLINK("https://www.omim.org/entry/603593",603593)</f>
        <v>603593</v>
      </c>
      <c r="C661" s="3">
        <f>HYPERLINK("https://www.omim.org/entry/222700",222700)</f>
        <v>222700</v>
      </c>
      <c r="I661" s="6" t="s">
        <v>2138</v>
      </c>
    </row>
    <row r="662" spans="1:9" ht="15" x14ac:dyDescent="0.25">
      <c r="A662" s="1" t="s">
        <v>1319</v>
      </c>
      <c r="B662" s="2">
        <f>HYPERLINK("https://www.omim.org/entry/604144",604144)</f>
        <v>604144</v>
      </c>
      <c r="C662" s="19">
        <f>HYPERLINK("https://www.omim.org/entry/220100",220100)</f>
        <v>220100</v>
      </c>
      <c r="I662" s="6" t="s">
        <v>2125</v>
      </c>
    </row>
    <row r="663" spans="1:9" ht="15" x14ac:dyDescent="0.25">
      <c r="A663" s="1" t="s">
        <v>1321</v>
      </c>
      <c r="B663" s="2">
        <f>HYPERLINK("https://www.omim.org/entry/182307",182307)</f>
        <v>182307</v>
      </c>
      <c r="C663" s="3">
        <f>HYPERLINK("https://www.omim.org/entry/616868",616868)</f>
        <v>616868</v>
      </c>
      <c r="I663" s="6" t="s">
        <v>2139</v>
      </c>
    </row>
    <row r="664" spans="1:9" ht="15" x14ac:dyDescent="0.25">
      <c r="A664" s="1" t="s">
        <v>1323</v>
      </c>
      <c r="B664" s="2">
        <f>HYPERLINK("https://www.omim.org/entry/609681",609681)</f>
        <v>609681</v>
      </c>
      <c r="C664" s="3">
        <f>HYPERLINK("https://www.omim.org/entry/221200",221200)</f>
        <v>221200</v>
      </c>
      <c r="I664" s="6" t="s">
        <v>2140</v>
      </c>
    </row>
    <row r="665" spans="1:9" ht="15" x14ac:dyDescent="0.25">
      <c r="A665" s="1" t="s">
        <v>1325</v>
      </c>
      <c r="B665" s="2">
        <f>HYPERLINK("https://www.omim.org/entry/613278",613278)</f>
        <v>613278</v>
      </c>
      <c r="C665" s="3">
        <f>HYPERLINK("https://www.omim.org/entry/613951",613951)</f>
        <v>613951</v>
      </c>
      <c r="I665" s="6" t="s">
        <v>2141</v>
      </c>
    </row>
    <row r="666" spans="1:9" ht="15" x14ac:dyDescent="0.25">
      <c r="A666" s="1" t="s">
        <v>1327</v>
      </c>
      <c r="B666" s="2">
        <f>HYPERLINK("https://www.omim.org/entry/601736",601736)</f>
        <v>601736</v>
      </c>
      <c r="C666" s="3">
        <f>HYPERLINK("https://www.omim.org/entry/617475",617475)</f>
        <v>617475</v>
      </c>
      <c r="I666" s="6" t="s">
        <v>2142</v>
      </c>
    </row>
    <row r="667" spans="1:9" ht="15" x14ac:dyDescent="0.25">
      <c r="A667" s="1" t="s">
        <v>1329</v>
      </c>
      <c r="B667" s="2">
        <f>HYPERLINK("https://www.omim.org/entry/600354",600354)</f>
        <v>600354</v>
      </c>
      <c r="C667" s="3">
        <f>HYPERLINK("https://www.omim.org/entry/253550",253550)</f>
        <v>253550</v>
      </c>
      <c r="D667" s="15">
        <f>HYPERLINK("https://www.omim.org/entry/271150",271150)</f>
        <v>271150</v>
      </c>
      <c r="E667" s="15">
        <f>HYPERLINK("https://www.omim.org/entry/253400",253400)</f>
        <v>253400</v>
      </c>
      <c r="F667" s="15">
        <f>HYPERLINK("https://www.omim.org/entry/253300",253300)</f>
        <v>253300</v>
      </c>
      <c r="I667" s="6" t="s">
        <v>2143</v>
      </c>
    </row>
    <row r="668" spans="1:9" ht="15" x14ac:dyDescent="0.25">
      <c r="A668" s="1" t="s">
        <v>1331</v>
      </c>
      <c r="B668" s="2">
        <f>HYPERLINK("https://www.omim.org/entry/607608",607608)</f>
        <v>607608</v>
      </c>
      <c r="C668" s="3">
        <f>HYPERLINK("https://www.omim.org/entry/607616",607616)</f>
        <v>607616</v>
      </c>
      <c r="D668" s="15">
        <f>HYPERLINK("https://www.omim.org/entry/257200",257200)</f>
        <v>257200</v>
      </c>
      <c r="I668" s="6" t="s">
        <v>2144</v>
      </c>
    </row>
    <row r="669" spans="1:9" ht="15" x14ac:dyDescent="0.25">
      <c r="A669" s="1" t="s">
        <v>1333</v>
      </c>
      <c r="B669" s="2">
        <f>HYPERLINK("https://www.omim.org/entry/600322",600322)</f>
        <v>600322</v>
      </c>
      <c r="C669" s="3">
        <f>HYPERLINK("https://www.omim.org/entry/616330",616330)</f>
        <v>616330</v>
      </c>
      <c r="I669" s="6" t="s">
        <v>2145</v>
      </c>
    </row>
    <row r="670" spans="1:9" ht="15" x14ac:dyDescent="0.25">
      <c r="A670" s="1" t="s">
        <v>1335</v>
      </c>
      <c r="B670" s="2">
        <f>HYPERLINK("https://www.omim.org/entry/614780",614780)</f>
        <v>614780</v>
      </c>
      <c r="C670" s="3">
        <f>HYPERLINK("https://www.omim.org/entry/615085",615085)</f>
        <v>615085</v>
      </c>
      <c r="I670" s="6" t="s">
        <v>2146</v>
      </c>
    </row>
    <row r="671" spans="1:9" ht="15" x14ac:dyDescent="0.25">
      <c r="A671" s="1" t="s">
        <v>1337</v>
      </c>
      <c r="B671" s="2">
        <f>HYPERLINK("https://www.omim.org/entry/182530",182530)</f>
        <v>182530</v>
      </c>
      <c r="C671" s="3">
        <f>HYPERLINK("https://www.omim.org/entry/610733",610733)</f>
        <v>610733</v>
      </c>
      <c r="I671" s="6" t="s">
        <v>2147</v>
      </c>
    </row>
    <row r="672" spans="1:9" ht="15" x14ac:dyDescent="0.25">
      <c r="A672" s="1" t="s">
        <v>1339</v>
      </c>
      <c r="B672" s="2">
        <f>HYPERLINK("https://www.omim.org/entry/602229",602229)</f>
        <v>602229</v>
      </c>
      <c r="C672" s="3">
        <f>HYPERLINK("https://www.omim.org/entry/613266",613266)</f>
        <v>613266</v>
      </c>
      <c r="D672" s="15">
        <f>HYPERLINK("https://www.omim.org/entry/609136",609136)</f>
        <v>609136</v>
      </c>
      <c r="E672" s="15">
        <f>HYPERLINK("https://www.omim.org/entry/611584",611584)</f>
        <v>611584</v>
      </c>
      <c r="I672" s="6" t="s">
        <v>2148</v>
      </c>
    </row>
    <row r="673" spans="1:9" ht="15" x14ac:dyDescent="0.25">
      <c r="A673" s="1" t="s">
        <v>1341</v>
      </c>
      <c r="B673" s="2">
        <f>HYPERLINK("https://www.omim.org/entry/313430",313430)</f>
        <v>313430</v>
      </c>
      <c r="C673" s="3">
        <f>HYPERLINK("https://www.omim.org/entry/312000",312000)</f>
        <v>312000</v>
      </c>
      <c r="I673" s="6" t="s">
        <v>2149</v>
      </c>
    </row>
    <row r="674" spans="1:9" ht="15" x14ac:dyDescent="0.25">
      <c r="A674" s="1" t="s">
        <v>1343</v>
      </c>
      <c r="B674" s="2">
        <f>HYPERLINK("https://www.omim.org/entry/604457",604457)</f>
        <v>604457</v>
      </c>
      <c r="C674" s="3">
        <f>HYPERLINK("https://www.omim.org/entry/235550",235550)</f>
        <v>235550</v>
      </c>
      <c r="I674" s="6" t="s">
        <v>2150</v>
      </c>
    </row>
    <row r="675" spans="1:9" ht="15" x14ac:dyDescent="0.25">
      <c r="A675" s="1" t="s">
        <v>1345</v>
      </c>
      <c r="B675" s="2">
        <f>HYPERLINK("https://www.omim.org/entry/603395",603395)</f>
        <v>603395</v>
      </c>
      <c r="C675" s="3">
        <f>HYPERLINK("https://www.omim.org/entry/615505",615505)</f>
        <v>615505</v>
      </c>
      <c r="I675" s="6" t="s">
        <v>2151</v>
      </c>
    </row>
    <row r="676" spans="1:9" ht="15" x14ac:dyDescent="0.25">
      <c r="A676" s="1" t="s">
        <v>1347</v>
      </c>
      <c r="B676" s="2">
        <f>HYPERLINK("https://www.omim.org/entry/605124",605124)</f>
        <v>605124</v>
      </c>
      <c r="C676" s="3">
        <f>HYPERLINK("https://www.omim.org/entry/270420",270420)</f>
        <v>270420</v>
      </c>
      <c r="I676" s="6" t="s">
        <v>2152</v>
      </c>
    </row>
    <row r="677" spans="1:9" ht="15" x14ac:dyDescent="0.25">
      <c r="A677" s="1" t="s">
        <v>1349</v>
      </c>
      <c r="B677" s="2">
        <f>HYPERLINK("https://www.omim.org/entry/182125",182125)</f>
        <v>182125</v>
      </c>
      <c r="C677" s="3">
        <f>HYPERLINK("https://www.omim.org/entry/612716",612716)</f>
        <v>612716</v>
      </c>
      <c r="I677" s="6" t="s">
        <v>2153</v>
      </c>
    </row>
    <row r="678" spans="1:9" ht="15" x14ac:dyDescent="0.25">
      <c r="A678" s="1" t="s">
        <v>1351</v>
      </c>
      <c r="B678" s="2">
        <f>HYPERLINK("https://www.omim.org/entry/604857",604857)</f>
        <v>604857</v>
      </c>
      <c r="C678" s="3">
        <f>HYPERLINK("https://www.omim.org/entry/618752",618752)</f>
        <v>618752</v>
      </c>
      <c r="I678" s="6" t="s">
        <v>2154</v>
      </c>
    </row>
    <row r="679" spans="1:9" ht="15" x14ac:dyDescent="0.25">
      <c r="A679" s="1" t="s">
        <v>1353</v>
      </c>
      <c r="B679" s="2">
        <f>HYPERLINK("https://www.omim.org/entry/600617",600617)</f>
        <v>600617</v>
      </c>
      <c r="C679" s="3">
        <f>HYPERLINK("https://www.omim.org/entry/201710",201710)</f>
        <v>201710</v>
      </c>
      <c r="I679" s="6" t="s">
        <v>1354</v>
      </c>
    </row>
    <row r="680" spans="1:9" ht="15" x14ac:dyDescent="0.25">
      <c r="A680" s="1" t="s">
        <v>1355</v>
      </c>
      <c r="B680" s="2">
        <f>HYPERLINK("https://www.omim.org/entry/600555",600555)</f>
        <v>600555</v>
      </c>
      <c r="C680" s="3">
        <f>HYPERLINK("https://www.omim.org/entry/613796",613796)</f>
        <v>613796</v>
      </c>
      <c r="I680" s="6" t="s">
        <v>2155</v>
      </c>
    </row>
    <row r="681" spans="1:9" ht="15" x14ac:dyDescent="0.25">
      <c r="A681" s="1" t="s">
        <v>1357</v>
      </c>
      <c r="B681" s="2">
        <f>HYPERLINK("https://www.omim.org/entry/102582",102582)</f>
        <v>102582</v>
      </c>
      <c r="C681" s="3">
        <f>HYPERLINK("https://www.omim.org/entry/147060",147060)</f>
        <v>147060</v>
      </c>
      <c r="I681" s="6" t="s">
        <v>2156</v>
      </c>
    </row>
    <row r="682" spans="1:9" ht="15" x14ac:dyDescent="0.25">
      <c r="A682" s="1" t="s">
        <v>1359</v>
      </c>
      <c r="B682" s="2">
        <f>HYPERLINK("https://www.omim.org/entry/605921",605921)</f>
        <v>605921</v>
      </c>
      <c r="C682" s="3">
        <f>HYPERLINK("https://www.omim.org/entry/612783",612783)</f>
        <v>612783</v>
      </c>
      <c r="I682" s="6" t="s">
        <v>2157</v>
      </c>
    </row>
    <row r="683" spans="1:9" ht="15" x14ac:dyDescent="0.25">
      <c r="A683" s="1" t="s">
        <v>1361</v>
      </c>
      <c r="B683" s="2">
        <f>HYPERLINK("https://www.omim.org/entry/604965",604965)</f>
        <v>604965</v>
      </c>
      <c r="C683" s="3">
        <f>HYPERLINK("https://www.omim.org/entry/614868",614868)</f>
        <v>614868</v>
      </c>
      <c r="I683" s="6" t="s">
        <v>2158</v>
      </c>
    </row>
    <row r="684" spans="1:9" ht="15" x14ac:dyDescent="0.25">
      <c r="A684" s="1" t="s">
        <v>1363</v>
      </c>
      <c r="B684" s="2">
        <f>HYPERLINK("https://www.omim.org/entry/606440",606440)</f>
        <v>606440</v>
      </c>
      <c r="C684" s="3">
        <f>HYPERLINK("https://www.omim.org/entry/603720",603720)</f>
        <v>603720</v>
      </c>
      <c r="I684" s="6" t="s">
        <v>2159</v>
      </c>
    </row>
    <row r="685" spans="1:9" ht="15" x14ac:dyDescent="0.25">
      <c r="A685" s="1" t="s">
        <v>1365</v>
      </c>
      <c r="B685" s="2">
        <f>HYPERLINK("https://www.omim.org/entry/605014",605014)</f>
        <v>605014</v>
      </c>
      <c r="C685" s="3">
        <f>HYPERLINK("https://www.omim.org/entry/603552",603552)</f>
        <v>603552</v>
      </c>
      <c r="I685" s="6" t="s">
        <v>2160</v>
      </c>
    </row>
    <row r="686" spans="1:9" ht="15" x14ac:dyDescent="0.25">
      <c r="A686" s="1" t="s">
        <v>1367</v>
      </c>
      <c r="B686" s="2">
        <f>HYPERLINK("https://www.omim.org/entry/601717",601717)</f>
        <v>601717</v>
      </c>
      <c r="C686" s="3">
        <f>HYPERLINK("https://www.omim.org/entry/613101",613101)</f>
        <v>613101</v>
      </c>
      <c r="I686" s="6" t="s">
        <v>2161</v>
      </c>
    </row>
    <row r="687" spans="1:9" ht="15" x14ac:dyDescent="0.25">
      <c r="A687" s="1" t="s">
        <v>1369</v>
      </c>
      <c r="B687" s="2">
        <f>HYPERLINK("https://www.omim.org/entry/609187",609187)</f>
        <v>609187</v>
      </c>
      <c r="C687" s="3">
        <f>HYPERLINK("https://www.omim.org/entry/231690",231690)</f>
        <v>231690</v>
      </c>
      <c r="I687" s="6" t="s">
        <v>2162</v>
      </c>
    </row>
    <row r="688" spans="1:9" ht="15" x14ac:dyDescent="0.25">
      <c r="A688" s="1" t="s">
        <v>1371</v>
      </c>
      <c r="B688" s="2">
        <f>HYPERLINK("https://www.omim.org/entry/615535",615535)</f>
        <v>615535</v>
      </c>
      <c r="C688" s="3">
        <f>HYPERLINK("https://www.omim.org/entry/615540",615540)</f>
        <v>615540</v>
      </c>
      <c r="I688" s="6" t="s">
        <v>2163</v>
      </c>
    </row>
    <row r="689" spans="1:9" ht="15" x14ac:dyDescent="0.25">
      <c r="A689" s="1" t="s">
        <v>1373</v>
      </c>
      <c r="B689" s="2">
        <f>HYPERLINK("https://www.omim.org/entry/600104",600104)</f>
        <v>600104</v>
      </c>
      <c r="C689" s="3">
        <f>HYPERLINK("https://www.omim.org/entry/619461",619461)</f>
        <v>619461</v>
      </c>
      <c r="I689" s="6" t="s">
        <v>2164</v>
      </c>
    </row>
    <row r="690" spans="1:9" ht="15" x14ac:dyDescent="0.25">
      <c r="A690" s="1" t="s">
        <v>1375</v>
      </c>
      <c r="B690" s="2">
        <f>HYPERLINK("https://www.omim.org/entry/613018",613018)</f>
        <v>613018</v>
      </c>
      <c r="C690" s="3">
        <f>HYPERLINK("https://www.omim.org/entry/276600",276600)</f>
        <v>276600</v>
      </c>
      <c r="I690" s="6" t="s">
        <v>2165</v>
      </c>
    </row>
    <row r="691" spans="1:9" ht="15" x14ac:dyDescent="0.25">
      <c r="A691" s="1" t="s">
        <v>1377</v>
      </c>
      <c r="B691" s="2">
        <f>HYPERLINK("https://www.omim.org/entry/613577",613577)</f>
        <v>613577</v>
      </c>
      <c r="C691" s="3">
        <f>HYPERLINK("https://www.omim.org/entry/614617",614617)</f>
        <v>614617</v>
      </c>
      <c r="I691" s="6" t="s">
        <v>2166</v>
      </c>
    </row>
    <row r="692" spans="1:9" ht="15" x14ac:dyDescent="0.25">
      <c r="A692" s="1" t="s">
        <v>1379</v>
      </c>
      <c r="B692" s="2">
        <f>HYPERLINK("https://www.omim.org/entry/300196",300196)</f>
        <v>300196</v>
      </c>
      <c r="C692" s="3">
        <f>HYPERLINK("https://www.omim.org/entry/301033",301033)</f>
        <v>301033</v>
      </c>
      <c r="I692" s="6" t="s">
        <v>2167</v>
      </c>
    </row>
    <row r="693" spans="1:9" ht="15" x14ac:dyDescent="0.25">
      <c r="A693" s="1" t="s">
        <v>1381</v>
      </c>
      <c r="B693" s="2">
        <f>HYPERLINK("https://www.omim.org/entry/602054",602054)</f>
        <v>602054</v>
      </c>
      <c r="C693" s="3">
        <f>HYPERLINK("https://www.omim.org/entry/188400",188400)</f>
        <v>188400</v>
      </c>
      <c r="I693" s="6" t="s">
        <v>2168</v>
      </c>
    </row>
    <row r="694" spans="1:9" ht="15" x14ac:dyDescent="0.25">
      <c r="A694" s="1" t="s">
        <v>1383</v>
      </c>
      <c r="B694" s="2">
        <f>HYPERLINK("https://www.omim.org/entry/604614",604614)</f>
        <v>604614</v>
      </c>
      <c r="C694" s="3">
        <f>HYPERLINK("https://www.omim.org/entry/201400",201400)</f>
        <v>201400</v>
      </c>
      <c r="I694" s="6" t="s">
        <v>2169</v>
      </c>
    </row>
    <row r="695" spans="1:9" ht="15" x14ac:dyDescent="0.25">
      <c r="A695" s="1" t="s">
        <v>1385</v>
      </c>
      <c r="B695" s="2">
        <f>HYPERLINK("https://www.omim.org/entry/147141",147141)</f>
        <v>147141</v>
      </c>
      <c r="C695" s="3">
        <f>HYPERLINK("https://www.omim.org/entry/619824",619824)</f>
        <v>619824</v>
      </c>
      <c r="D695" s="15">
        <f>HYPERLINK("https://www.omim.org/entry/616941",616941)</f>
        <v>616941</v>
      </c>
      <c r="I695" s="6" t="s">
        <v>2170</v>
      </c>
    </row>
    <row r="696" spans="1:9" ht="15" x14ac:dyDescent="0.25">
      <c r="A696" s="1" t="s">
        <v>1387</v>
      </c>
      <c r="B696" s="2">
        <f>HYPERLINK("https://www.omim.org/entry/604592",604592)</f>
        <v>604592</v>
      </c>
      <c r="C696" s="3">
        <f>HYPERLINK("https://www.omim.org/entry/259700",259700)</f>
        <v>259700</v>
      </c>
      <c r="I696" s="6" t="s">
        <v>2171</v>
      </c>
    </row>
    <row r="697" spans="1:9" ht="15" x14ac:dyDescent="0.25">
      <c r="A697" s="1" t="s">
        <v>1389</v>
      </c>
      <c r="B697" s="2">
        <f>HYPERLINK("https://www.omim.org/entry/613441",613441)</f>
        <v>613441</v>
      </c>
      <c r="C697" s="3">
        <f>HYPERLINK("https://www.omim.org/entry/275350",275350)</f>
        <v>275350</v>
      </c>
      <c r="I697" s="6" t="s">
        <v>2172</v>
      </c>
    </row>
    <row r="698" spans="1:9" ht="15" x14ac:dyDescent="0.25">
      <c r="A698" s="1" t="s">
        <v>1391</v>
      </c>
      <c r="B698" s="2">
        <f>HYPERLINK("https://www.omim.org/entry/606847",606847)</f>
        <v>606847</v>
      </c>
      <c r="C698" s="3">
        <f>HYPERLINK("https://www.omim.org/entry/154500",154500)</f>
        <v>154500</v>
      </c>
      <c r="I698" s="6" t="s">
        <v>2173</v>
      </c>
    </row>
    <row r="699" spans="1:9" ht="15" x14ac:dyDescent="0.25">
      <c r="A699" s="1" t="s">
        <v>1393</v>
      </c>
      <c r="B699" s="2">
        <f>HYPERLINK("https://www.omim.org/entry/617242",617242)</f>
        <v>617242</v>
      </c>
      <c r="C699" s="3">
        <f>HYPERLINK("https://www.omim.org/entry/614021",614021)</f>
        <v>614021</v>
      </c>
      <c r="I699" s="6" t="s">
        <v>2174</v>
      </c>
    </row>
    <row r="700" spans="1:9" ht="15" x14ac:dyDescent="0.25">
      <c r="A700" s="1" t="s">
        <v>1395</v>
      </c>
      <c r="B700" s="2">
        <f>HYPERLINK("https://www.omim.org/entry/602574",602574)</f>
        <v>602574</v>
      </c>
      <c r="C700" s="3">
        <f>HYPERLINK("https://www.omim.org/entry/601543",601543)</f>
        <v>601543</v>
      </c>
      <c r="D700" s="15">
        <f>HYPERLINK("https://www.omim.org/entry/603629",603629)</f>
        <v>603629</v>
      </c>
      <c r="I700" s="6" t="s">
        <v>2175</v>
      </c>
    </row>
    <row r="701" spans="1:9" ht="15" x14ac:dyDescent="0.25">
      <c r="A701" s="1" t="s">
        <v>1397</v>
      </c>
      <c r="B701" s="2">
        <f>HYPERLINK("https://www.omim.org/entry/602322",602322)</f>
        <v>602322</v>
      </c>
      <c r="C701" s="3">
        <f>HYPERLINK("https://www.omim.org/entry/127550",127550)</f>
        <v>127550</v>
      </c>
      <c r="I701" s="6" t="s">
        <v>2176</v>
      </c>
    </row>
    <row r="702" spans="1:9" ht="15" x14ac:dyDescent="0.25">
      <c r="A702" s="1" t="s">
        <v>1398</v>
      </c>
      <c r="B702" s="2">
        <f>HYPERLINK("https://www.omim.org/entry/190000",190000)</f>
        <v>190000</v>
      </c>
      <c r="C702" s="3">
        <f>HYPERLINK("https://www.omim.org/entry/209300",209300)</f>
        <v>209300</v>
      </c>
      <c r="I702" s="6" t="s">
        <v>1399</v>
      </c>
    </row>
    <row r="703" spans="1:9" ht="15" x14ac:dyDescent="0.25">
      <c r="A703" s="1" t="s">
        <v>1400</v>
      </c>
      <c r="B703" s="2">
        <f>HYPERLINK("https://www.omim.org/entry/188450",188450)</f>
        <v>188450</v>
      </c>
      <c r="C703" s="3">
        <f>HYPERLINK("https://www.omim.org/entry/274700",274700)</f>
        <v>274700</v>
      </c>
      <c r="I703" s="6" t="s">
        <v>2177</v>
      </c>
    </row>
    <row r="704" spans="1:9" ht="15" x14ac:dyDescent="0.25">
      <c r="A704" s="1" t="s">
        <v>1402</v>
      </c>
      <c r="B704" s="2">
        <f>HYPERLINK("https://www.omim.org/entry/191290",191290)</f>
        <v>191290</v>
      </c>
      <c r="C704" s="3">
        <f>HYPERLINK("https://www.omim.org/entry/605407",605407)</f>
        <v>605407</v>
      </c>
      <c r="I704" s="6" t="s">
        <v>2178</v>
      </c>
    </row>
    <row r="705" spans="1:9" ht="15" x14ac:dyDescent="0.25">
      <c r="A705" s="1" t="s">
        <v>1404</v>
      </c>
      <c r="B705" s="2">
        <f>HYPERLINK("https://www.omim.org/entry/190120",190120)</f>
        <v>190120</v>
      </c>
      <c r="C705" s="3">
        <f>HYPERLINK("https://www.omim.org/entry/614450",614450)</f>
        <v>614450</v>
      </c>
      <c r="I705" s="6" t="s">
        <v>1733</v>
      </c>
    </row>
    <row r="706" spans="1:9" ht="15" x14ac:dyDescent="0.25">
      <c r="A706" s="1" t="s">
        <v>1405</v>
      </c>
      <c r="B706" s="2">
        <f>HYPERLINK("https://www.omim.org/entry/190160",190160)</f>
        <v>190160</v>
      </c>
      <c r="C706" s="3">
        <f>HYPERLINK("https://www.omim.org/entry/274300",274300)</f>
        <v>274300</v>
      </c>
      <c r="D706" s="15">
        <f>HYPERLINK("https://www.omim.org/entry/188570",188570)</f>
        <v>188570</v>
      </c>
      <c r="E706" s="15">
        <f>HYPERLINK("https://www.omim.org/entry/145650",145650)</f>
        <v>145650</v>
      </c>
      <c r="I706" s="6" t="s">
        <v>2179</v>
      </c>
    </row>
    <row r="707" spans="1:9" ht="15" x14ac:dyDescent="0.25">
      <c r="A707" s="1" t="s">
        <v>1407</v>
      </c>
      <c r="B707" s="2">
        <f>HYPERLINK("https://www.omim.org/entry/604319",604319)</f>
        <v>604319</v>
      </c>
      <c r="C707" s="3">
        <f>HYPERLINK("https://www.omim.org/entry/613990",613990)</f>
        <v>613990</v>
      </c>
      <c r="I707" s="6" t="s">
        <v>2180</v>
      </c>
    </row>
    <row r="708" spans="1:9" ht="15" x14ac:dyDescent="0.25">
      <c r="A708" s="1" t="s">
        <v>1408</v>
      </c>
      <c r="B708" s="2">
        <f>HYPERLINK("https://www.omim.org/entry/607237",607237)</f>
        <v>607237</v>
      </c>
      <c r="C708" s="3">
        <f>HYPERLINK("https://www.omim.org/entry/600971",600971)</f>
        <v>600971</v>
      </c>
      <c r="I708" s="6" t="s">
        <v>2181</v>
      </c>
    </row>
    <row r="709" spans="1:9" ht="15" x14ac:dyDescent="0.25">
      <c r="A709" s="1" t="s">
        <v>1410</v>
      </c>
      <c r="B709" s="2">
        <f>HYPERLINK("https://www.omim.org/entry/605511",605511)</f>
        <v>605511</v>
      </c>
      <c r="C709" s="3">
        <f>HYPERLINK("https://www.omim.org/entry/601072",601072)</f>
        <v>601072</v>
      </c>
      <c r="I709" s="6" t="s">
        <v>2182</v>
      </c>
    </row>
    <row r="710" spans="1:9" ht="15" x14ac:dyDescent="0.25">
      <c r="A710" s="1" t="s">
        <v>1412</v>
      </c>
      <c r="B710" s="2">
        <f>HYPERLINK("https://www.omim.org/entry/603499",603499)</f>
        <v>603499</v>
      </c>
      <c r="C710" s="3">
        <f>HYPERLINK("https://www.omim.org/entry/612301",612301)</f>
        <v>612301</v>
      </c>
      <c r="I710" s="6" t="s">
        <v>2183</v>
      </c>
    </row>
    <row r="711" spans="1:9" ht="15" x14ac:dyDescent="0.25">
      <c r="A711" s="1" t="s">
        <v>1414</v>
      </c>
      <c r="B711" s="2">
        <f>HYPERLINK("https://www.omim.org/entry/191040",191040)</f>
        <v>191040</v>
      </c>
      <c r="C711" s="3">
        <f>HYPERLINK("https://www.omim.org/entry/611879",611879)</f>
        <v>611879</v>
      </c>
      <c r="D711" s="15">
        <f>HYPERLINK("https://www.omim.org/entry/613243",613243)</f>
        <v>613243</v>
      </c>
      <c r="I711" s="6" t="s">
        <v>2184</v>
      </c>
    </row>
    <row r="712" spans="1:9" ht="15" x14ac:dyDescent="0.25">
      <c r="A712" s="1" t="s">
        <v>1416</v>
      </c>
      <c r="B712" s="2">
        <f>HYPERLINK("https://www.omim.org/entry/191045",191045)</f>
        <v>191045</v>
      </c>
      <c r="C712" s="3">
        <f>HYPERLINK("https://www.omim.org/entry/601494",601494)</f>
        <v>601494</v>
      </c>
      <c r="I712" s="6" t="s">
        <v>2185</v>
      </c>
    </row>
    <row r="713" spans="1:9" ht="15" x14ac:dyDescent="0.25">
      <c r="A713" s="1" t="s">
        <v>1418</v>
      </c>
      <c r="B713" s="2">
        <f>HYPERLINK("https://www.omim.org/entry/606370",606370)</f>
        <v>606370</v>
      </c>
      <c r="C713" s="3">
        <f>HYPERLINK("https://www.omim.org/entry/614458",614458)</f>
        <v>614458</v>
      </c>
      <c r="I713" s="6" t="s">
        <v>2186</v>
      </c>
    </row>
    <row r="714" spans="1:9" ht="15" x14ac:dyDescent="0.25">
      <c r="A714" s="1" t="s">
        <v>1420</v>
      </c>
      <c r="B714" s="2">
        <f>HYPERLINK("https://www.omim.org/entry/606765",606765)</f>
        <v>606765</v>
      </c>
      <c r="C714" s="3">
        <f>HYPERLINK("https://www.omim.org/entry/274500",274500)</f>
        <v>274500</v>
      </c>
      <c r="I714" s="6" t="s">
        <v>2187</v>
      </c>
    </row>
    <row r="715" spans="1:9" ht="15" x14ac:dyDescent="0.25">
      <c r="A715" s="1" t="s">
        <v>1422</v>
      </c>
      <c r="B715" s="2">
        <f>HYPERLINK("https://www.omim.org/entry/607998",607998)</f>
        <v>607998</v>
      </c>
      <c r="C715" s="3">
        <f>HYPERLINK("https://www.omim.org/entry/204500",204500)</f>
        <v>204500</v>
      </c>
      <c r="I715" s="6" t="s">
        <v>2188</v>
      </c>
    </row>
    <row r="716" spans="1:9" ht="15" x14ac:dyDescent="0.25">
      <c r="A716" s="1" t="s">
        <v>1424</v>
      </c>
      <c r="B716" s="2">
        <f>HYPERLINK("https://www.omim.org/entry/613354",613354)</f>
        <v>613354</v>
      </c>
      <c r="C716" s="3">
        <f>HYPERLINK("https://www.omim.org/entry/613307",613307)</f>
        <v>613307</v>
      </c>
      <c r="I716" s="6" t="s">
        <v>2189</v>
      </c>
    </row>
    <row r="717" spans="1:9" ht="15" x14ac:dyDescent="0.25">
      <c r="A717" s="1" t="s">
        <v>1426</v>
      </c>
      <c r="B717" s="2">
        <f>HYPERLINK("https://www.omim.org/entry/603283",603283)</f>
        <v>603283</v>
      </c>
      <c r="C717" s="3">
        <f>HYPERLINK("https://www.omim.org/entry/615441",615441)</f>
        <v>615441</v>
      </c>
      <c r="I717" s="6" t="s">
        <v>2190</v>
      </c>
    </row>
    <row r="718" spans="1:9" ht="15" x14ac:dyDescent="0.25">
      <c r="A718" s="1" t="s">
        <v>1428</v>
      </c>
      <c r="B718" s="2">
        <f>HYPERLINK("https://www.omim.org/entry/188545",188545)</f>
        <v>188545</v>
      </c>
      <c r="C718" s="3">
        <f>HYPERLINK("https://www.omim.org/entry/618573",618573)</f>
        <v>618573</v>
      </c>
      <c r="I718" s="6" t="s">
        <v>2191</v>
      </c>
    </row>
    <row r="719" spans="1:9" ht="15" x14ac:dyDescent="0.25">
      <c r="A719" s="1" t="s">
        <v>1430</v>
      </c>
      <c r="B719" s="2">
        <f>HYPERLINK("https://www.omim.org/entry/609761",609761)</f>
        <v>609761</v>
      </c>
      <c r="C719" s="3">
        <f>HYPERLINK("https://www.omim.org/entry/609823",609823)</f>
        <v>609823</v>
      </c>
      <c r="I719" s="6" t="s">
        <v>2192</v>
      </c>
    </row>
    <row r="720" spans="1:9" ht="15" x14ac:dyDescent="0.25">
      <c r="A720" s="1" t="s">
        <v>1432</v>
      </c>
      <c r="B720" s="2">
        <f>HYPERLINK("https://www.omim.org/entry/610230",610230)</f>
        <v>610230</v>
      </c>
      <c r="C720" s="3">
        <f>HYPERLINK("https://www.omim.org/entry/613070",613070)</f>
        <v>613070</v>
      </c>
      <c r="I720" s="6" t="s">
        <v>2193</v>
      </c>
    </row>
    <row r="721" spans="1:9" ht="15" x14ac:dyDescent="0.25">
      <c r="A721" s="1" t="s">
        <v>1434</v>
      </c>
      <c r="B721" s="2">
        <f>HYPERLINK("https://www.omim.org/entry/607009",607009)</f>
        <v>607009</v>
      </c>
      <c r="C721" s="3">
        <f>HYPERLINK("https://www.omim.org/entry/602014",602014)</f>
        <v>602014</v>
      </c>
      <c r="I721" s="6" t="s">
        <v>2194</v>
      </c>
    </row>
    <row r="722" spans="1:9" ht="15" x14ac:dyDescent="0.25">
      <c r="A722" s="1" t="s">
        <v>1436</v>
      </c>
      <c r="B722" s="2">
        <f>HYPERLINK("https://www.omim.org/entry/165060",165060)</f>
        <v>165060</v>
      </c>
      <c r="C722" s="3">
        <f>HYPERLINK("https://www.omim.org/entry/620198",620198)</f>
        <v>620198</v>
      </c>
      <c r="I722" s="6" t="s">
        <v>2195</v>
      </c>
    </row>
    <row r="723" spans="1:9" ht="15" x14ac:dyDescent="0.25">
      <c r="A723" s="1" t="s">
        <v>1438</v>
      </c>
      <c r="B723" s="2">
        <f>HYPERLINK("https://www.omim.org/entry/605284",605284)</f>
        <v>605284</v>
      </c>
      <c r="C723" s="3">
        <f>HYPERLINK("https://www.omim.org/entry/191100",191100)</f>
        <v>191100</v>
      </c>
      <c r="I723" s="6" t="s">
        <v>2196</v>
      </c>
    </row>
    <row r="724" spans="1:9" ht="15" x14ac:dyDescent="0.25">
      <c r="A724" s="1" t="s">
        <v>1440</v>
      </c>
      <c r="B724" s="2">
        <f>HYPERLINK("https://www.omim.org/entry/191092",191092)</f>
        <v>191092</v>
      </c>
      <c r="C724" s="3">
        <f>HYPERLINK("https://www.omim.org/entry/613254",613254)</f>
        <v>613254</v>
      </c>
      <c r="I724" s="6" t="s">
        <v>2197</v>
      </c>
    </row>
    <row r="725" spans="1:9" ht="15" x14ac:dyDescent="0.25">
      <c r="A725" s="1" t="s">
        <v>1442</v>
      </c>
      <c r="B725" s="2">
        <f>HYPERLINK("https://www.omim.org/entry/188540",188540)</f>
        <v>188540</v>
      </c>
      <c r="C725" s="3">
        <f>HYPERLINK("https://www.omim.org/entry/275100",275100)</f>
        <v>275100</v>
      </c>
      <c r="I725" s="6" t="s">
        <v>2198</v>
      </c>
    </row>
    <row r="726" spans="1:9" ht="15" x14ac:dyDescent="0.25">
      <c r="A726" s="1" t="s">
        <v>1444</v>
      </c>
      <c r="B726" s="2">
        <f>HYPERLINK("https://www.omim.org/entry/603372",603372)</f>
        <v>603372</v>
      </c>
      <c r="C726" s="3">
        <f>HYPERLINK("https://www.omim.org/entry/275200",275200)</f>
        <v>275200</v>
      </c>
      <c r="I726" s="6" t="s">
        <v>2199</v>
      </c>
    </row>
    <row r="727" spans="1:9" ht="15" x14ac:dyDescent="0.25">
      <c r="A727" s="1" t="s">
        <v>1446</v>
      </c>
      <c r="B727" s="2">
        <f>HYPERLINK("https://www.omim.org/entry/612920",612920)</f>
        <v>612920</v>
      </c>
      <c r="C727" s="3">
        <f>HYPERLINK("https://www.omim.org/entry/614861",614861)</f>
        <v>614861</v>
      </c>
      <c r="I727" s="6" t="s">
        <v>2200</v>
      </c>
    </row>
    <row r="728" spans="1:9" ht="15" x14ac:dyDescent="0.25">
      <c r="A728" s="1" t="s">
        <v>1448</v>
      </c>
      <c r="B728" s="2">
        <f>HYPERLINK("https://www.omim.org/entry/609332",609332)</f>
        <v>609332</v>
      </c>
      <c r="C728" s="3">
        <f>HYPERLINK("https://www.omim.org/entry/243150",243150)</f>
        <v>243150</v>
      </c>
      <c r="I728" s="6" t="s">
        <v>2201</v>
      </c>
    </row>
    <row r="729" spans="1:9" ht="15" x14ac:dyDescent="0.25">
      <c r="A729" s="1" t="s">
        <v>1450</v>
      </c>
      <c r="B729" s="2">
        <f>HYPERLINK("https://www.omim.org/entry/600415",600415)</f>
        <v>600415</v>
      </c>
      <c r="C729" s="3">
        <f>HYPERLINK("https://www.omim.org/entry/277460",277460)</f>
        <v>277460</v>
      </c>
      <c r="I729" s="6" t="s">
        <v>2202</v>
      </c>
    </row>
    <row r="730" spans="1:9" ht="15" x14ac:dyDescent="0.25">
      <c r="A730" s="1" t="s">
        <v>1452</v>
      </c>
      <c r="B730" s="2">
        <f>HYPERLINK("https://www.omim.org/entry/610538",610538)</f>
        <v>610538</v>
      </c>
      <c r="C730" s="3">
        <f>HYPERLINK("https://www.omim.org/entry/616435",616435)</f>
        <v>616435</v>
      </c>
      <c r="I730" s="6" t="s">
        <v>2203</v>
      </c>
    </row>
    <row r="731" spans="1:9" ht="15" x14ac:dyDescent="0.25">
      <c r="A731" s="1" t="s">
        <v>1454</v>
      </c>
      <c r="B731" s="2">
        <f>HYPERLINK("https://www.omim.org/entry/191740",191740)</f>
        <v>191740</v>
      </c>
      <c r="C731" s="3">
        <f>HYPERLINK("https://www.omim.org/entry/218800",218800)</f>
        <v>218800</v>
      </c>
      <c r="D731" s="15">
        <f>HYPERLINK("https://www.omim.org/entry/606785",606785)</f>
        <v>606785</v>
      </c>
      <c r="I731" s="6" t="s">
        <v>2204</v>
      </c>
    </row>
    <row r="732" spans="1:9" ht="15" x14ac:dyDescent="0.25">
      <c r="A732" s="1" t="s">
        <v>1456</v>
      </c>
      <c r="B732" s="2">
        <f>HYPERLINK("https://www.omim.org/entry/613891",613891)</f>
        <v>613891</v>
      </c>
      <c r="C732" s="3">
        <f>HYPERLINK("https://www.omim.org/entry/258900",258900)</f>
        <v>258900</v>
      </c>
      <c r="I732" s="6" t="s">
        <v>2205</v>
      </c>
    </row>
    <row r="733" spans="1:9" ht="15" x14ac:dyDescent="0.25">
      <c r="A733" s="1" t="s">
        <v>1458</v>
      </c>
      <c r="B733" s="2">
        <f>HYPERLINK("https://www.omim.org/entry/608897",608897)</f>
        <v>608897</v>
      </c>
      <c r="C733" s="3">
        <f>HYPERLINK("https://www.omim.org/entry/608898",608898)</f>
        <v>608898</v>
      </c>
      <c r="I733" s="6" t="s">
        <v>2206</v>
      </c>
    </row>
    <row r="734" spans="1:9" ht="15" x14ac:dyDescent="0.25">
      <c r="A734" s="1" t="s">
        <v>1460</v>
      </c>
      <c r="B734" s="2">
        <f>HYPERLINK("https://www.omim.org/entry/191525",191525)</f>
        <v>191525</v>
      </c>
      <c r="C734" s="3">
        <f>HYPERLINK("https://www.omim.org/entry/608106",608106)</f>
        <v>608106</v>
      </c>
      <c r="I734" s="6" t="s">
        <v>2207</v>
      </c>
    </row>
    <row r="735" spans="1:9" ht="15" x14ac:dyDescent="0.25">
      <c r="A735" s="1" t="s">
        <v>1462</v>
      </c>
      <c r="B735" s="2">
        <f>HYPERLINK("https://www.omim.org/entry/613521",613521)</f>
        <v>613521</v>
      </c>
      <c r="C735" s="3">
        <f>HYPERLINK("https://www.omim.org/entry/176100",176100)</f>
        <v>176100</v>
      </c>
      <c r="I735" s="6" t="s">
        <v>2208</v>
      </c>
    </row>
    <row r="736" spans="1:9" ht="15" x14ac:dyDescent="0.25">
      <c r="A736" s="1" t="s">
        <v>1464</v>
      </c>
      <c r="B736" s="2">
        <f>HYPERLINK("https://www.omim.org/entry/606938",606938)</f>
        <v>606938</v>
      </c>
      <c r="C736" s="3">
        <f>HYPERLINK("https://www.omim.org/entry/263700",263700)</f>
        <v>263700</v>
      </c>
      <c r="I736" s="6" t="s">
        <v>2209</v>
      </c>
    </row>
    <row r="737" spans="1:9" ht="15" x14ac:dyDescent="0.25">
      <c r="A737" s="1" t="s">
        <v>1466</v>
      </c>
      <c r="B737" s="2">
        <f>HYPERLINK("https://www.omim.org/entry/605242",605242)</f>
        <v>605242</v>
      </c>
      <c r="C737" s="3">
        <f>HYPERLINK("https://www.omim.org/entry/276904",276904)</f>
        <v>276904</v>
      </c>
      <c r="D737" s="15">
        <f>HYPERLINK("https://www.omim.org/entry/602092",602092)</f>
        <v>602092</v>
      </c>
      <c r="I737" s="6" t="s">
        <v>2210</v>
      </c>
    </row>
    <row r="738" spans="1:9" ht="15" x14ac:dyDescent="0.25">
      <c r="A738" s="1" t="s">
        <v>1468</v>
      </c>
      <c r="B738" s="2">
        <f>HYPERLINK("https://www.omim.org/entry/607696",607696)</f>
        <v>607696</v>
      </c>
      <c r="C738" s="3">
        <f>HYPERLINK("https://www.omim.org/entry/606943",606943)</f>
        <v>606943</v>
      </c>
      <c r="I738" s="6" t="s">
        <v>2211</v>
      </c>
    </row>
    <row r="739" spans="1:9" ht="15" x14ac:dyDescent="0.25">
      <c r="A739" s="1" t="s">
        <v>1470</v>
      </c>
      <c r="B739" s="2">
        <f>HYPERLINK("https://www.omim.org/entry/608400",608400)</f>
        <v>608400</v>
      </c>
      <c r="C739" s="3">
        <f>HYPERLINK("https://www.omim.org/entry/276901",276901)</f>
        <v>276901</v>
      </c>
      <c r="I739" s="6" t="s">
        <v>2212</v>
      </c>
    </row>
    <row r="740" spans="1:9" ht="15" x14ac:dyDescent="0.25">
      <c r="A740" s="1" t="s">
        <v>1472</v>
      </c>
      <c r="B740" s="2">
        <f>HYPERLINK("https://www.omim.org/entry/185880",185880)</f>
        <v>185880</v>
      </c>
      <c r="C740" s="3">
        <f>HYPERLINK("https://www.omim.org/entry/618323",618323)</f>
        <v>618323</v>
      </c>
      <c r="I740" s="6" t="s">
        <v>2213</v>
      </c>
    </row>
    <row r="741" spans="1:9" ht="15" x14ac:dyDescent="0.25">
      <c r="A741" s="1" t="s">
        <v>1474</v>
      </c>
      <c r="B741" s="2">
        <f>HYPERLINK("https://www.omim.org/entry/601769",601769)</f>
        <v>601769</v>
      </c>
      <c r="C741" s="3">
        <f>HYPERLINK("https://www.omim.org/entry/277440",277440)</f>
        <v>277440</v>
      </c>
      <c r="I741" s="6" t="s">
        <v>2214</v>
      </c>
    </row>
    <row r="742" spans="1:9" ht="15" x14ac:dyDescent="0.25">
      <c r="A742" s="1" t="s">
        <v>1476</v>
      </c>
      <c r="B742" s="2">
        <f>HYPERLINK("https://www.omim.org/entry/613160",613160)</f>
        <v>613160</v>
      </c>
      <c r="C742" s="3">
        <f>HYPERLINK("https://www.omim.org/entry/277480",277480)</f>
        <v>277480</v>
      </c>
      <c r="I742" s="6" t="s">
        <v>2215</v>
      </c>
    </row>
    <row r="743" spans="1:9" ht="15" x14ac:dyDescent="0.25">
      <c r="A743" s="1" t="s">
        <v>1478</v>
      </c>
      <c r="B743" s="2">
        <f>HYPERLINK("https://www.omim.org/entry/300392",300392)</f>
        <v>300392</v>
      </c>
      <c r="C743" s="3">
        <f>HYPERLINK("https://www.omim.org/entry/301000",301000)</f>
        <v>301000</v>
      </c>
      <c r="D743" s="15">
        <f>HYPERLINK("https://www.omim.org/entry/300299",300299)</f>
        <v>300299</v>
      </c>
      <c r="I743" s="6" t="s">
        <v>2216</v>
      </c>
    </row>
    <row r="744" spans="1:9" ht="15" x14ac:dyDescent="0.25">
      <c r="A744" s="1" t="s">
        <v>1480</v>
      </c>
      <c r="B744" s="2">
        <f>HYPERLINK("https://www.omim.org/entry/606201",606201)</f>
        <v>606201</v>
      </c>
      <c r="C744" s="3">
        <f>HYPERLINK("https://www.omim.org/entry/222300",222300)</f>
        <v>222300</v>
      </c>
      <c r="I744" s="6" t="s">
        <v>2217</v>
      </c>
    </row>
    <row r="745" spans="1:9" ht="15" x14ac:dyDescent="0.25">
      <c r="A745" s="1" t="s">
        <v>1482</v>
      </c>
      <c r="B745" s="2">
        <f>HYPERLINK("https://www.omim.org/entry/607928",607928)</f>
        <v>607928</v>
      </c>
      <c r="C745" s="3">
        <f>HYPERLINK("https://www.omim.org/entry/611383",611383)</f>
        <v>611383</v>
      </c>
      <c r="I745" s="6" t="s">
        <v>2218</v>
      </c>
    </row>
    <row r="746" spans="1:9" ht="15" x14ac:dyDescent="0.25">
      <c r="A746" s="1" t="s">
        <v>1484</v>
      </c>
      <c r="B746" s="2">
        <f>HYPERLINK("https://www.omim.org/entry/300079",300079)</f>
        <v>300079</v>
      </c>
      <c r="C746" s="3">
        <f>HYPERLINK("https://www.omim.org/entry/300635",300635)</f>
        <v>300635</v>
      </c>
      <c r="I746" s="6" t="s">
        <v>2219</v>
      </c>
    </row>
    <row r="747" spans="1:9" ht="15" x14ac:dyDescent="0.25">
      <c r="A747" s="1" t="s">
        <v>1486</v>
      </c>
      <c r="B747" s="2">
        <f>HYPERLINK("https://www.omim.org/entry/176947",176947)</f>
        <v>176947</v>
      </c>
      <c r="C747" s="3">
        <f>HYPERLINK("https://www.omim.org/entry/269840",269840)</f>
        <v>269840</v>
      </c>
      <c r="I747" s="6" t="s">
        <v>2220</v>
      </c>
    </row>
    <row r="748" spans="1:9" ht="15" x14ac:dyDescent="0.25">
      <c r="A748" s="1" t="s">
        <v>1488</v>
      </c>
      <c r="B748" s="2">
        <f>HYPERLINK("https://www.omim.org/entry/614064",614064)</f>
        <v>614064</v>
      </c>
      <c r="C748" s="3">
        <f>HYPERLINK("https://www.omim.org/entry/614069",614069)</f>
        <v>614069</v>
      </c>
      <c r="I748" s="6" t="s">
        <v>2221</v>
      </c>
    </row>
    <row r="749" spans="1:9" ht="15" x14ac:dyDescent="0.25">
      <c r="A749" s="1" t="s">
        <v>1490</v>
      </c>
      <c r="B749" s="2">
        <f>HYPERLINK("https://www.omim.org/entry/607070",607070)</f>
        <v>607070</v>
      </c>
      <c r="C749" s="3">
        <f>HYPERLINK("https://www.omim.org/entry/615444",615444)</f>
        <v>615444</v>
      </c>
      <c r="I749" s="6" t="s">
        <v>2222</v>
      </c>
    </row>
    <row r="750" spans="1:9" ht="15" x14ac:dyDescent="0.25">
      <c r="B750" s="27"/>
      <c r="C750" s="27"/>
      <c r="D750" s="27"/>
      <c r="E750" s="27"/>
      <c r="F750" s="27"/>
      <c r="G750" s="27"/>
      <c r="H750" s="27"/>
    </row>
    <row r="751" spans="1:9" ht="15" x14ac:dyDescent="0.25">
      <c r="B751" s="27"/>
      <c r="C751" s="27"/>
      <c r="D751" s="27"/>
      <c r="E751" s="27"/>
      <c r="F751" s="27"/>
      <c r="G751" s="27"/>
      <c r="H751" s="27"/>
    </row>
    <row r="752" spans="1:9" ht="15" x14ac:dyDescent="0.25">
      <c r="B752" s="27"/>
      <c r="C752" s="27"/>
      <c r="D752" s="27"/>
      <c r="E752" s="27"/>
      <c r="F752" s="27"/>
      <c r="G752" s="27"/>
      <c r="H752" s="27"/>
    </row>
    <row r="753" spans="2:8" ht="15" x14ac:dyDescent="0.25">
      <c r="B753" s="27"/>
      <c r="C753" s="27"/>
      <c r="D753" s="27"/>
      <c r="E753" s="27"/>
      <c r="F753" s="27"/>
      <c r="G753" s="27"/>
      <c r="H753" s="27"/>
    </row>
    <row r="754" spans="2:8" ht="15" x14ac:dyDescent="0.25">
      <c r="B754" s="27"/>
      <c r="C754" s="27"/>
      <c r="D754" s="27"/>
      <c r="E754" s="27"/>
      <c r="F754" s="27"/>
      <c r="G754" s="27"/>
      <c r="H754" s="27"/>
    </row>
    <row r="755" spans="2:8" ht="15" x14ac:dyDescent="0.25">
      <c r="B755" s="27"/>
      <c r="C755" s="27"/>
      <c r="D755" s="27"/>
      <c r="E755" s="27"/>
      <c r="F755" s="27"/>
      <c r="G755" s="27"/>
      <c r="H755" s="27"/>
    </row>
    <row r="756" spans="2:8" ht="15" x14ac:dyDescent="0.25">
      <c r="B756" s="27"/>
      <c r="C756" s="27"/>
      <c r="D756" s="27"/>
      <c r="E756" s="27"/>
      <c r="F756" s="27"/>
      <c r="G756" s="27"/>
      <c r="H756" s="27"/>
    </row>
    <row r="757" spans="2:8" ht="15" x14ac:dyDescent="0.25">
      <c r="B757" s="27"/>
      <c r="C757" s="27"/>
      <c r="D757" s="27"/>
      <c r="E757" s="27"/>
      <c r="F757" s="27"/>
      <c r="G757" s="27"/>
      <c r="H757" s="27"/>
    </row>
    <row r="758" spans="2:8" ht="15" x14ac:dyDescent="0.25">
      <c r="B758" s="27"/>
      <c r="C758" s="27"/>
      <c r="D758" s="27"/>
      <c r="E758" s="27"/>
      <c r="F758" s="27"/>
      <c r="G758" s="27"/>
      <c r="H758" s="27"/>
    </row>
    <row r="759" spans="2:8" ht="15" x14ac:dyDescent="0.25">
      <c r="B759" s="27"/>
      <c r="C759" s="27"/>
      <c r="D759" s="27"/>
      <c r="E759" s="27"/>
      <c r="F759" s="27"/>
      <c r="G759" s="27"/>
      <c r="H759" s="27"/>
    </row>
    <row r="760" spans="2:8" ht="15" x14ac:dyDescent="0.25">
      <c r="B760" s="27"/>
      <c r="C760" s="27"/>
      <c r="D760" s="27"/>
      <c r="E760" s="27"/>
      <c r="F760" s="27"/>
      <c r="G760" s="27"/>
      <c r="H760" s="27"/>
    </row>
    <row r="761" spans="2:8" ht="15" x14ac:dyDescent="0.25">
      <c r="B761" s="27"/>
      <c r="C761" s="27"/>
      <c r="D761" s="27"/>
      <c r="E761" s="27"/>
      <c r="F761" s="27"/>
      <c r="G761" s="27"/>
      <c r="H761" s="27"/>
    </row>
    <row r="762" spans="2:8" ht="15" x14ac:dyDescent="0.25">
      <c r="B762" s="27"/>
      <c r="C762" s="27"/>
      <c r="D762" s="27"/>
      <c r="E762" s="27"/>
      <c r="F762" s="27"/>
      <c r="G762" s="27"/>
      <c r="H762" s="27"/>
    </row>
    <row r="763" spans="2:8" ht="15" x14ac:dyDescent="0.25">
      <c r="B763" s="27"/>
      <c r="C763" s="27"/>
      <c r="D763" s="27"/>
      <c r="E763" s="27"/>
      <c r="F763" s="27"/>
      <c r="G763" s="27"/>
      <c r="H763" s="27"/>
    </row>
    <row r="764" spans="2:8" ht="15" x14ac:dyDescent="0.25">
      <c r="B764" s="27"/>
      <c r="C764" s="27"/>
      <c r="D764" s="27"/>
      <c r="E764" s="27"/>
      <c r="F764" s="27"/>
      <c r="G764" s="27"/>
      <c r="H764" s="27"/>
    </row>
    <row r="765" spans="2:8" ht="15" x14ac:dyDescent="0.25">
      <c r="B765" s="27"/>
      <c r="C765" s="27"/>
      <c r="D765" s="27"/>
      <c r="E765" s="27"/>
      <c r="F765" s="27"/>
      <c r="G765" s="27"/>
      <c r="H765" s="27"/>
    </row>
    <row r="766" spans="2:8" ht="15" x14ac:dyDescent="0.25">
      <c r="B766" s="27"/>
      <c r="C766" s="27"/>
      <c r="D766" s="27"/>
      <c r="E766" s="27"/>
      <c r="F766" s="27"/>
      <c r="G766" s="27"/>
      <c r="H766" s="27"/>
    </row>
    <row r="767" spans="2:8" ht="15" x14ac:dyDescent="0.25">
      <c r="B767" s="27"/>
      <c r="C767" s="27"/>
      <c r="D767" s="27"/>
      <c r="E767" s="27"/>
      <c r="F767" s="27"/>
      <c r="G767" s="27"/>
      <c r="H767" s="27"/>
    </row>
    <row r="768" spans="2:8" ht="15" x14ac:dyDescent="0.25">
      <c r="B768" s="27"/>
      <c r="C768" s="27"/>
      <c r="D768" s="27"/>
      <c r="E768" s="27"/>
      <c r="F768" s="27"/>
      <c r="G768" s="27"/>
      <c r="H768" s="27"/>
    </row>
    <row r="769" spans="2:8" ht="15" x14ac:dyDescent="0.25">
      <c r="B769" s="27"/>
      <c r="C769" s="27"/>
      <c r="D769" s="27"/>
      <c r="E769" s="27"/>
      <c r="F769" s="27"/>
      <c r="G769" s="27"/>
      <c r="H769" s="27"/>
    </row>
    <row r="770" spans="2:8" ht="15" x14ac:dyDescent="0.25">
      <c r="B770" s="27"/>
      <c r="C770" s="27"/>
      <c r="D770" s="27"/>
      <c r="E770" s="27"/>
      <c r="F770" s="27"/>
      <c r="G770" s="27"/>
      <c r="H770" s="27"/>
    </row>
    <row r="771" spans="2:8" ht="15" x14ac:dyDescent="0.25">
      <c r="B771" s="27"/>
      <c r="C771" s="27"/>
      <c r="D771" s="27"/>
      <c r="E771" s="27"/>
      <c r="F771" s="27"/>
      <c r="G771" s="27"/>
      <c r="H771" s="27"/>
    </row>
    <row r="772" spans="2:8" ht="15" x14ac:dyDescent="0.25">
      <c r="B772" s="27"/>
      <c r="C772" s="27"/>
      <c r="D772" s="27"/>
      <c r="E772" s="27"/>
      <c r="F772" s="27"/>
      <c r="G772" s="27"/>
      <c r="H772" s="27"/>
    </row>
    <row r="773" spans="2:8" ht="15" x14ac:dyDescent="0.25">
      <c r="B773" s="27"/>
      <c r="C773" s="27"/>
      <c r="D773" s="27"/>
      <c r="E773" s="27"/>
      <c r="F773" s="27"/>
      <c r="G773" s="27"/>
      <c r="H773" s="27"/>
    </row>
    <row r="774" spans="2:8" ht="15" x14ac:dyDescent="0.25">
      <c r="B774" s="27"/>
      <c r="C774" s="27"/>
      <c r="D774" s="27"/>
      <c r="E774" s="27"/>
      <c r="F774" s="27"/>
      <c r="G774" s="27"/>
      <c r="H774" s="27"/>
    </row>
    <row r="775" spans="2:8" ht="15" x14ac:dyDescent="0.25">
      <c r="B775" s="27"/>
      <c r="C775" s="27"/>
      <c r="D775" s="27"/>
      <c r="E775" s="27"/>
      <c r="F775" s="27"/>
      <c r="G775" s="27"/>
      <c r="H775" s="27"/>
    </row>
    <row r="776" spans="2:8" ht="15" x14ac:dyDescent="0.25">
      <c r="B776" s="27"/>
      <c r="C776" s="27"/>
      <c r="D776" s="27"/>
      <c r="E776" s="27"/>
      <c r="F776" s="27"/>
      <c r="G776" s="27"/>
      <c r="H776" s="27"/>
    </row>
    <row r="777" spans="2:8" ht="15" x14ac:dyDescent="0.25">
      <c r="B777" s="27"/>
      <c r="C777" s="27"/>
      <c r="D777" s="27"/>
      <c r="E777" s="27"/>
      <c r="F777" s="27"/>
      <c r="G777" s="27"/>
      <c r="H777" s="27"/>
    </row>
    <row r="778" spans="2:8" ht="15" x14ac:dyDescent="0.25">
      <c r="B778" s="27"/>
      <c r="C778" s="27"/>
      <c r="D778" s="27"/>
      <c r="E778" s="27"/>
      <c r="F778" s="27"/>
      <c r="G778" s="27"/>
      <c r="H778" s="27"/>
    </row>
    <row r="779" spans="2:8" ht="15" x14ac:dyDescent="0.25">
      <c r="B779" s="27"/>
      <c r="C779" s="27"/>
      <c r="D779" s="27"/>
      <c r="E779" s="27"/>
      <c r="F779" s="27"/>
      <c r="G779" s="27"/>
      <c r="H779" s="27"/>
    </row>
    <row r="780" spans="2:8" ht="15" x14ac:dyDescent="0.25">
      <c r="B780" s="27"/>
      <c r="C780" s="27"/>
      <c r="D780" s="27"/>
      <c r="E780" s="27"/>
      <c r="F780" s="27"/>
      <c r="G780" s="27"/>
      <c r="H780" s="27"/>
    </row>
    <row r="781" spans="2:8" ht="15" x14ac:dyDescent="0.25">
      <c r="B781" s="27"/>
      <c r="C781" s="27"/>
      <c r="D781" s="27"/>
      <c r="E781" s="27"/>
      <c r="F781" s="27"/>
      <c r="G781" s="27"/>
      <c r="H781" s="27"/>
    </row>
    <row r="782" spans="2:8" ht="15" x14ac:dyDescent="0.25">
      <c r="B782" s="27"/>
      <c r="C782" s="27"/>
      <c r="D782" s="27"/>
      <c r="E782" s="27"/>
      <c r="F782" s="27"/>
      <c r="G782" s="27"/>
      <c r="H782" s="27"/>
    </row>
    <row r="783" spans="2:8" ht="15" x14ac:dyDescent="0.25">
      <c r="B783" s="27"/>
      <c r="C783" s="27"/>
      <c r="D783" s="27"/>
      <c r="E783" s="27"/>
      <c r="F783" s="27"/>
      <c r="G783" s="27"/>
      <c r="H783" s="27"/>
    </row>
    <row r="784" spans="2:8" ht="15" x14ac:dyDescent="0.25">
      <c r="B784" s="27"/>
      <c r="C784" s="27"/>
      <c r="D784" s="27"/>
      <c r="E784" s="27"/>
      <c r="F784" s="27"/>
      <c r="G784" s="27"/>
      <c r="H784" s="27"/>
    </row>
    <row r="785" spans="2:8" ht="15" x14ac:dyDescent="0.25">
      <c r="B785" s="27"/>
      <c r="C785" s="27"/>
      <c r="D785" s="27"/>
      <c r="E785" s="27"/>
      <c r="F785" s="27"/>
      <c r="G785" s="27"/>
      <c r="H785" s="27"/>
    </row>
    <row r="786" spans="2:8" ht="15" x14ac:dyDescent="0.25">
      <c r="B786" s="27"/>
      <c r="C786" s="27"/>
      <c r="D786" s="27"/>
      <c r="E786" s="27"/>
      <c r="F786" s="27"/>
      <c r="G786" s="27"/>
      <c r="H786" s="27"/>
    </row>
    <row r="787" spans="2:8" ht="15" x14ac:dyDescent="0.25">
      <c r="B787" s="27"/>
      <c r="C787" s="27"/>
      <c r="D787" s="27"/>
      <c r="E787" s="27"/>
      <c r="F787" s="27"/>
      <c r="G787" s="27"/>
      <c r="H787" s="27"/>
    </row>
    <row r="788" spans="2:8" ht="15" x14ac:dyDescent="0.25">
      <c r="B788" s="27"/>
      <c r="C788" s="27"/>
      <c r="D788" s="27"/>
      <c r="E788" s="27"/>
      <c r="F788" s="27"/>
      <c r="G788" s="27"/>
      <c r="H788" s="27"/>
    </row>
    <row r="789" spans="2:8" ht="15" x14ac:dyDescent="0.25">
      <c r="B789" s="27"/>
      <c r="C789" s="27"/>
      <c r="D789" s="27"/>
      <c r="E789" s="27"/>
      <c r="F789" s="27"/>
      <c r="G789" s="27"/>
      <c r="H789" s="27"/>
    </row>
    <row r="790" spans="2:8" ht="15" x14ac:dyDescent="0.25">
      <c r="B790" s="27"/>
      <c r="C790" s="27"/>
      <c r="D790" s="27"/>
      <c r="E790" s="27"/>
      <c r="F790" s="27"/>
      <c r="G790" s="27"/>
      <c r="H790" s="27"/>
    </row>
    <row r="791" spans="2:8" ht="15" x14ac:dyDescent="0.25">
      <c r="B791" s="27"/>
      <c r="C791" s="27"/>
      <c r="D791" s="27"/>
      <c r="E791" s="27"/>
      <c r="F791" s="27"/>
      <c r="G791" s="27"/>
      <c r="H791" s="27"/>
    </row>
    <row r="792" spans="2:8" ht="15" x14ac:dyDescent="0.25">
      <c r="B792" s="27"/>
      <c r="C792" s="27"/>
      <c r="D792" s="27"/>
      <c r="E792" s="27"/>
      <c r="F792" s="27"/>
      <c r="G792" s="27"/>
      <c r="H792" s="27"/>
    </row>
    <row r="793" spans="2:8" ht="15" x14ac:dyDescent="0.25">
      <c r="B793" s="27"/>
      <c r="C793" s="27"/>
      <c r="D793" s="27"/>
      <c r="E793" s="27"/>
      <c r="F793" s="27"/>
      <c r="G793" s="27"/>
      <c r="H793" s="27"/>
    </row>
    <row r="794" spans="2:8" ht="15" x14ac:dyDescent="0.25">
      <c r="B794" s="27"/>
      <c r="C794" s="27"/>
      <c r="D794" s="27"/>
      <c r="E794" s="27"/>
      <c r="F794" s="27"/>
      <c r="G794" s="27"/>
      <c r="H794" s="27"/>
    </row>
    <row r="795" spans="2:8" ht="15" x14ac:dyDescent="0.25">
      <c r="B795" s="27"/>
      <c r="C795" s="27"/>
      <c r="D795" s="27"/>
      <c r="E795" s="27"/>
      <c r="F795" s="27"/>
      <c r="G795" s="27"/>
      <c r="H795" s="27"/>
    </row>
    <row r="796" spans="2:8" ht="15" x14ac:dyDescent="0.25">
      <c r="B796" s="27"/>
      <c r="C796" s="27"/>
      <c r="D796" s="27"/>
      <c r="E796" s="27"/>
      <c r="F796" s="27"/>
      <c r="G796" s="27"/>
      <c r="H796" s="27"/>
    </row>
    <row r="797" spans="2:8" ht="15" x14ac:dyDescent="0.25">
      <c r="B797" s="27"/>
      <c r="C797" s="27"/>
      <c r="D797" s="27"/>
      <c r="E797" s="27"/>
      <c r="F797" s="27"/>
      <c r="G797" s="27"/>
      <c r="H797" s="27"/>
    </row>
    <row r="798" spans="2:8" ht="15" x14ac:dyDescent="0.25">
      <c r="B798" s="27"/>
      <c r="C798" s="27"/>
      <c r="D798" s="27"/>
      <c r="E798" s="27"/>
      <c r="F798" s="27"/>
      <c r="G798" s="27"/>
      <c r="H798" s="27"/>
    </row>
    <row r="799" spans="2:8" ht="15" x14ac:dyDescent="0.25">
      <c r="B799" s="27"/>
      <c r="C799" s="27"/>
      <c r="D799" s="27"/>
      <c r="E799" s="27"/>
      <c r="F799" s="27"/>
      <c r="G799" s="27"/>
      <c r="H799" s="27"/>
    </row>
    <row r="800" spans="2:8" ht="15" x14ac:dyDescent="0.25">
      <c r="B800" s="27"/>
      <c r="C800" s="27"/>
      <c r="D800" s="27"/>
      <c r="E800" s="27"/>
      <c r="F800" s="27"/>
      <c r="G800" s="27"/>
      <c r="H800" s="27"/>
    </row>
    <row r="801" spans="2:8" ht="15" x14ac:dyDescent="0.25">
      <c r="B801" s="27"/>
      <c r="C801" s="27"/>
      <c r="D801" s="27"/>
      <c r="E801" s="27"/>
      <c r="F801" s="27"/>
      <c r="G801" s="27"/>
      <c r="H801" s="27"/>
    </row>
    <row r="802" spans="2:8" ht="15" x14ac:dyDescent="0.25">
      <c r="B802" s="27"/>
      <c r="C802" s="27"/>
      <c r="D802" s="27"/>
      <c r="E802" s="27"/>
      <c r="F802" s="27"/>
      <c r="G802" s="27"/>
      <c r="H802" s="27"/>
    </row>
    <row r="803" spans="2:8" ht="15" x14ac:dyDescent="0.25">
      <c r="B803" s="27"/>
      <c r="C803" s="27"/>
      <c r="D803" s="27"/>
      <c r="E803" s="27"/>
      <c r="F803" s="27"/>
      <c r="G803" s="27"/>
      <c r="H803" s="27"/>
    </row>
    <row r="804" spans="2:8" ht="15" x14ac:dyDescent="0.25">
      <c r="B804" s="27"/>
      <c r="C804" s="27"/>
      <c r="D804" s="27"/>
      <c r="E804" s="27"/>
      <c r="F804" s="27"/>
      <c r="G804" s="27"/>
      <c r="H804" s="27"/>
    </row>
    <row r="805" spans="2:8" ht="15" x14ac:dyDescent="0.25">
      <c r="B805" s="27"/>
      <c r="C805" s="27"/>
      <c r="D805" s="27"/>
      <c r="E805" s="27"/>
      <c r="F805" s="27"/>
      <c r="G805" s="27"/>
      <c r="H805" s="27"/>
    </row>
    <row r="806" spans="2:8" ht="15" x14ac:dyDescent="0.25">
      <c r="B806" s="27"/>
      <c r="C806" s="27"/>
      <c r="D806" s="27"/>
      <c r="E806" s="27"/>
      <c r="F806" s="27"/>
      <c r="G806" s="27"/>
      <c r="H806" s="27"/>
    </row>
    <row r="807" spans="2:8" ht="15" x14ac:dyDescent="0.25">
      <c r="B807" s="27"/>
      <c r="C807" s="27"/>
      <c r="D807" s="27"/>
      <c r="E807" s="27"/>
      <c r="F807" s="27"/>
      <c r="G807" s="27"/>
      <c r="H807" s="27"/>
    </row>
    <row r="808" spans="2:8" ht="15" x14ac:dyDescent="0.25">
      <c r="B808" s="27"/>
      <c r="C808" s="27"/>
      <c r="D808" s="27"/>
      <c r="E808" s="27"/>
      <c r="F808" s="27"/>
      <c r="G808" s="27"/>
      <c r="H808" s="27"/>
    </row>
    <row r="809" spans="2:8" ht="15" x14ac:dyDescent="0.25">
      <c r="B809" s="27"/>
      <c r="C809" s="27"/>
      <c r="D809" s="27"/>
      <c r="E809" s="27"/>
      <c r="F809" s="27"/>
      <c r="G809" s="27"/>
      <c r="H809" s="27"/>
    </row>
    <row r="810" spans="2:8" ht="15" x14ac:dyDescent="0.25">
      <c r="B810" s="27"/>
      <c r="C810" s="27"/>
      <c r="D810" s="27"/>
      <c r="E810" s="27"/>
      <c r="F810" s="27"/>
      <c r="G810" s="27"/>
      <c r="H810" s="27"/>
    </row>
    <row r="811" spans="2:8" ht="15" x14ac:dyDescent="0.25">
      <c r="B811" s="27"/>
      <c r="C811" s="27"/>
      <c r="D811" s="27"/>
      <c r="E811" s="27"/>
      <c r="F811" s="27"/>
      <c r="G811" s="27"/>
      <c r="H811" s="27"/>
    </row>
    <row r="812" spans="2:8" ht="15" x14ac:dyDescent="0.25">
      <c r="B812" s="27"/>
      <c r="C812" s="27"/>
      <c r="D812" s="27"/>
      <c r="E812" s="27"/>
      <c r="F812" s="27"/>
      <c r="G812" s="27"/>
      <c r="H812" s="27"/>
    </row>
    <row r="813" spans="2:8" ht="15" x14ac:dyDescent="0.25">
      <c r="B813" s="27"/>
      <c r="C813" s="27"/>
      <c r="D813" s="27"/>
      <c r="E813" s="27"/>
      <c r="F813" s="27"/>
      <c r="G813" s="27"/>
      <c r="H813" s="27"/>
    </row>
    <row r="814" spans="2:8" ht="15" x14ac:dyDescent="0.25">
      <c r="B814" s="27"/>
      <c r="C814" s="27"/>
      <c r="D814" s="27"/>
      <c r="E814" s="27"/>
      <c r="F814" s="27"/>
      <c r="G814" s="27"/>
      <c r="H814" s="27"/>
    </row>
    <row r="815" spans="2:8" ht="15" x14ac:dyDescent="0.25">
      <c r="B815" s="27"/>
      <c r="C815" s="27"/>
      <c r="D815" s="27"/>
      <c r="E815" s="27"/>
      <c r="F815" s="27"/>
      <c r="G815" s="27"/>
      <c r="H815" s="27"/>
    </row>
    <row r="816" spans="2:8" ht="15" x14ac:dyDescent="0.25">
      <c r="B816" s="27"/>
      <c r="C816" s="27"/>
      <c r="D816" s="27"/>
      <c r="E816" s="27"/>
      <c r="F816" s="27"/>
      <c r="G816" s="27"/>
      <c r="H816" s="27"/>
    </row>
    <row r="817" spans="2:8" ht="15" x14ac:dyDescent="0.25">
      <c r="B817" s="27"/>
      <c r="C817" s="27"/>
      <c r="D817" s="27"/>
      <c r="E817" s="27"/>
      <c r="F817" s="27"/>
      <c r="G817" s="27"/>
      <c r="H817" s="27"/>
    </row>
    <row r="818" spans="2:8" ht="15" x14ac:dyDescent="0.25">
      <c r="B818" s="27"/>
      <c r="C818" s="27"/>
      <c r="D818" s="27"/>
      <c r="E818" s="27"/>
      <c r="F818" s="27"/>
      <c r="G818" s="27"/>
      <c r="H818" s="27"/>
    </row>
    <row r="819" spans="2:8" ht="15" x14ac:dyDescent="0.25">
      <c r="B819" s="27"/>
      <c r="C819" s="27"/>
      <c r="D819" s="27"/>
      <c r="E819" s="27"/>
      <c r="F819" s="27"/>
      <c r="G819" s="27"/>
      <c r="H819" s="27"/>
    </row>
    <row r="820" spans="2:8" ht="15" x14ac:dyDescent="0.25">
      <c r="B820" s="27"/>
      <c r="C820" s="27"/>
      <c r="D820" s="27"/>
      <c r="E820" s="27"/>
      <c r="F820" s="27"/>
      <c r="G820" s="27"/>
      <c r="H820" s="27"/>
    </row>
    <row r="821" spans="2:8" ht="15" x14ac:dyDescent="0.25">
      <c r="B821" s="27"/>
      <c r="C821" s="27"/>
      <c r="D821" s="27"/>
      <c r="E821" s="27"/>
      <c r="F821" s="27"/>
      <c r="G821" s="27"/>
      <c r="H821" s="27"/>
    </row>
    <row r="822" spans="2:8" ht="15" x14ac:dyDescent="0.25">
      <c r="B822" s="27"/>
      <c r="C822" s="27"/>
      <c r="D822" s="27"/>
      <c r="E822" s="27"/>
      <c r="F822" s="27"/>
      <c r="G822" s="27"/>
      <c r="H822" s="27"/>
    </row>
    <row r="823" spans="2:8" ht="15" x14ac:dyDescent="0.25">
      <c r="B823" s="27"/>
      <c r="C823" s="27"/>
      <c r="D823" s="27"/>
      <c r="E823" s="27"/>
      <c r="F823" s="27"/>
      <c r="G823" s="27"/>
      <c r="H823" s="27"/>
    </row>
    <row r="824" spans="2:8" ht="15" x14ac:dyDescent="0.25">
      <c r="B824" s="27"/>
      <c r="C824" s="27"/>
      <c r="D824" s="27"/>
      <c r="E824" s="27"/>
      <c r="F824" s="27"/>
      <c r="G824" s="27"/>
      <c r="H824" s="27"/>
    </row>
    <row r="825" spans="2:8" ht="15" x14ac:dyDescent="0.25">
      <c r="B825" s="27"/>
      <c r="C825" s="27"/>
      <c r="D825" s="27"/>
      <c r="E825" s="27"/>
      <c r="F825" s="27"/>
      <c r="G825" s="27"/>
      <c r="H825" s="27"/>
    </row>
    <row r="826" spans="2:8" ht="15" x14ac:dyDescent="0.25">
      <c r="B826" s="27"/>
      <c r="C826" s="27"/>
      <c r="D826" s="27"/>
      <c r="E826" s="27"/>
      <c r="F826" s="27"/>
      <c r="G826" s="27"/>
      <c r="H826" s="27"/>
    </row>
    <row r="827" spans="2:8" ht="15" x14ac:dyDescent="0.25">
      <c r="B827" s="27"/>
      <c r="C827" s="27"/>
      <c r="D827" s="27"/>
      <c r="E827" s="27"/>
      <c r="F827" s="27"/>
      <c r="G827" s="27"/>
      <c r="H827" s="27"/>
    </row>
    <row r="828" spans="2:8" ht="15" x14ac:dyDescent="0.25">
      <c r="B828" s="27"/>
      <c r="C828" s="27"/>
      <c r="D828" s="27"/>
      <c r="E828" s="27"/>
      <c r="F828" s="27"/>
      <c r="G828" s="27"/>
      <c r="H828" s="27"/>
    </row>
    <row r="829" spans="2:8" ht="15" x14ac:dyDescent="0.25">
      <c r="B829" s="27"/>
      <c r="C829" s="27"/>
      <c r="D829" s="27"/>
      <c r="E829" s="27"/>
      <c r="F829" s="27"/>
      <c r="G829" s="27"/>
      <c r="H829" s="27"/>
    </row>
    <row r="830" spans="2:8" ht="15" x14ac:dyDescent="0.25">
      <c r="B830" s="27"/>
      <c r="C830" s="27"/>
      <c r="D830" s="27"/>
      <c r="E830" s="27"/>
      <c r="F830" s="27"/>
      <c r="G830" s="27"/>
      <c r="H830" s="27"/>
    </row>
    <row r="831" spans="2:8" ht="15" x14ac:dyDescent="0.25">
      <c r="B831" s="27"/>
      <c r="C831" s="27"/>
      <c r="D831" s="27"/>
      <c r="E831" s="27"/>
      <c r="F831" s="27"/>
      <c r="G831" s="27"/>
      <c r="H831" s="27"/>
    </row>
    <row r="832" spans="2:8" ht="15" x14ac:dyDescent="0.25">
      <c r="B832" s="27"/>
      <c r="C832" s="27"/>
      <c r="D832" s="27"/>
      <c r="E832" s="27"/>
      <c r="F832" s="27"/>
      <c r="G832" s="27"/>
      <c r="H832" s="27"/>
    </row>
    <row r="833" spans="2:8" ht="15" x14ac:dyDescent="0.25">
      <c r="B833" s="27"/>
      <c r="C833" s="27"/>
      <c r="D833" s="27"/>
      <c r="E833" s="27"/>
      <c r="F833" s="27"/>
      <c r="G833" s="27"/>
      <c r="H833" s="27"/>
    </row>
    <row r="834" spans="2:8" ht="15" x14ac:dyDescent="0.25">
      <c r="B834" s="27"/>
      <c r="C834" s="27"/>
      <c r="D834" s="27"/>
      <c r="E834" s="27"/>
      <c r="F834" s="27"/>
      <c r="G834" s="27"/>
      <c r="H834" s="27"/>
    </row>
    <row r="835" spans="2:8" ht="15" x14ac:dyDescent="0.25">
      <c r="B835" s="27"/>
      <c r="C835" s="27"/>
      <c r="D835" s="27"/>
      <c r="E835" s="27"/>
      <c r="F835" s="27"/>
      <c r="G835" s="27"/>
      <c r="H835" s="27"/>
    </row>
    <row r="836" spans="2:8" ht="15" x14ac:dyDescent="0.25">
      <c r="B836" s="27"/>
      <c r="C836" s="27"/>
      <c r="D836" s="27"/>
      <c r="E836" s="27"/>
      <c r="F836" s="27"/>
      <c r="G836" s="27"/>
      <c r="H836" s="27"/>
    </row>
    <row r="837" spans="2:8" ht="15" x14ac:dyDescent="0.25">
      <c r="B837" s="27"/>
      <c r="C837" s="27"/>
      <c r="D837" s="27"/>
      <c r="E837" s="27"/>
      <c r="F837" s="27"/>
      <c r="G837" s="27"/>
      <c r="H837" s="27"/>
    </row>
    <row r="838" spans="2:8" ht="15" x14ac:dyDescent="0.25">
      <c r="B838" s="27"/>
      <c r="C838" s="27"/>
      <c r="D838" s="27"/>
      <c r="E838" s="27"/>
      <c r="F838" s="27"/>
      <c r="G838" s="27"/>
      <c r="H838" s="27"/>
    </row>
    <row r="839" spans="2:8" ht="15" x14ac:dyDescent="0.25">
      <c r="B839" s="27"/>
      <c r="C839" s="27"/>
      <c r="D839" s="27"/>
      <c r="E839" s="27"/>
      <c r="F839" s="27"/>
      <c r="G839" s="27"/>
      <c r="H839" s="27"/>
    </row>
    <row r="840" spans="2:8" ht="15" x14ac:dyDescent="0.25">
      <c r="B840" s="27"/>
      <c r="C840" s="27"/>
      <c r="D840" s="27"/>
      <c r="E840" s="27"/>
      <c r="F840" s="27"/>
      <c r="G840" s="27"/>
      <c r="H840" s="27"/>
    </row>
    <row r="841" spans="2:8" ht="15" x14ac:dyDescent="0.25">
      <c r="B841" s="27"/>
      <c r="C841" s="27"/>
      <c r="D841" s="27"/>
      <c r="E841" s="27"/>
      <c r="F841" s="27"/>
      <c r="G841" s="27"/>
      <c r="H841" s="27"/>
    </row>
    <row r="842" spans="2:8" ht="15" x14ac:dyDescent="0.25">
      <c r="B842" s="27"/>
      <c r="C842" s="27"/>
      <c r="D842" s="27"/>
      <c r="E842" s="27"/>
      <c r="F842" s="27"/>
      <c r="G842" s="27"/>
      <c r="H842" s="27"/>
    </row>
    <row r="843" spans="2:8" ht="15" x14ac:dyDescent="0.25">
      <c r="B843" s="27"/>
      <c r="C843" s="27"/>
      <c r="D843" s="27"/>
      <c r="E843" s="27"/>
      <c r="F843" s="27"/>
      <c r="G843" s="27"/>
      <c r="H843" s="27"/>
    </row>
    <row r="844" spans="2:8" ht="15" x14ac:dyDescent="0.25">
      <c r="B844" s="27"/>
      <c r="C844" s="27"/>
      <c r="D844" s="27"/>
      <c r="E844" s="27"/>
      <c r="F844" s="27"/>
      <c r="G844" s="27"/>
      <c r="H844" s="27"/>
    </row>
    <row r="845" spans="2:8" ht="15" x14ac:dyDescent="0.25">
      <c r="B845" s="27"/>
      <c r="C845" s="27"/>
      <c r="D845" s="27"/>
      <c r="E845" s="27"/>
      <c r="F845" s="27"/>
      <c r="G845" s="27"/>
      <c r="H845" s="27"/>
    </row>
    <row r="846" spans="2:8" ht="15" x14ac:dyDescent="0.25">
      <c r="B846" s="27"/>
      <c r="C846" s="27"/>
      <c r="D846" s="27"/>
      <c r="E846" s="27"/>
      <c r="F846" s="27"/>
      <c r="G846" s="27"/>
      <c r="H846" s="27"/>
    </row>
    <row r="847" spans="2:8" ht="15" x14ac:dyDescent="0.25">
      <c r="B847" s="27"/>
      <c r="C847" s="27"/>
      <c r="D847" s="27"/>
      <c r="E847" s="27"/>
      <c r="F847" s="27"/>
      <c r="G847" s="27"/>
      <c r="H847" s="27"/>
    </row>
    <row r="848" spans="2:8" ht="15" x14ac:dyDescent="0.25">
      <c r="B848" s="27"/>
      <c r="C848" s="27"/>
      <c r="D848" s="27"/>
      <c r="E848" s="27"/>
      <c r="F848" s="27"/>
      <c r="G848" s="27"/>
      <c r="H848" s="27"/>
    </row>
    <row r="849" spans="2:8" ht="15" x14ac:dyDescent="0.25">
      <c r="B849" s="27"/>
      <c r="C849" s="27"/>
      <c r="D849" s="27"/>
      <c r="E849" s="27"/>
      <c r="F849" s="27"/>
      <c r="G849" s="27"/>
      <c r="H849" s="27"/>
    </row>
    <row r="850" spans="2:8" ht="15" x14ac:dyDescent="0.25">
      <c r="B850" s="27"/>
      <c r="C850" s="27"/>
      <c r="D850" s="27"/>
      <c r="E850" s="27"/>
      <c r="F850" s="27"/>
      <c r="G850" s="27"/>
      <c r="H850" s="27"/>
    </row>
    <row r="851" spans="2:8" ht="15" x14ac:dyDescent="0.25">
      <c r="B851" s="27"/>
      <c r="C851" s="27"/>
      <c r="D851" s="27"/>
      <c r="E851" s="27"/>
      <c r="F851" s="27"/>
      <c r="G851" s="27"/>
      <c r="H851" s="27"/>
    </row>
    <row r="852" spans="2:8" ht="15" x14ac:dyDescent="0.25">
      <c r="B852" s="27"/>
      <c r="C852" s="27"/>
      <c r="D852" s="27"/>
      <c r="E852" s="27"/>
      <c r="F852" s="27"/>
      <c r="G852" s="27"/>
      <c r="H852" s="27"/>
    </row>
    <row r="853" spans="2:8" ht="15" x14ac:dyDescent="0.25">
      <c r="B853" s="27"/>
      <c r="C853" s="27"/>
      <c r="D853" s="27"/>
      <c r="E853" s="27"/>
      <c r="F853" s="27"/>
      <c r="G853" s="27"/>
      <c r="H853" s="27"/>
    </row>
    <row r="854" spans="2:8" ht="15" x14ac:dyDescent="0.25">
      <c r="B854" s="27"/>
      <c r="C854" s="27"/>
      <c r="D854" s="27"/>
      <c r="E854" s="27"/>
      <c r="F854" s="27"/>
      <c r="G854" s="27"/>
      <c r="H854" s="27"/>
    </row>
    <row r="855" spans="2:8" ht="15" x14ac:dyDescent="0.25">
      <c r="B855" s="27"/>
      <c r="C855" s="27"/>
      <c r="D855" s="27"/>
      <c r="E855" s="27"/>
      <c r="F855" s="27"/>
      <c r="G855" s="27"/>
      <c r="H855" s="27"/>
    </row>
    <row r="856" spans="2:8" ht="15" x14ac:dyDescent="0.25">
      <c r="B856" s="27"/>
      <c r="C856" s="27"/>
      <c r="D856" s="27"/>
      <c r="E856" s="27"/>
      <c r="F856" s="27"/>
      <c r="G856" s="27"/>
      <c r="H856" s="27"/>
    </row>
    <row r="857" spans="2:8" ht="15" x14ac:dyDescent="0.25">
      <c r="B857" s="27"/>
      <c r="C857" s="27"/>
      <c r="D857" s="27"/>
      <c r="E857" s="27"/>
      <c r="F857" s="27"/>
      <c r="G857" s="27"/>
      <c r="H857" s="27"/>
    </row>
    <row r="858" spans="2:8" ht="15" x14ac:dyDescent="0.25">
      <c r="B858" s="27"/>
      <c r="C858" s="27"/>
      <c r="D858" s="27"/>
      <c r="E858" s="27"/>
      <c r="F858" s="27"/>
      <c r="G858" s="27"/>
      <c r="H858" s="27"/>
    </row>
    <row r="859" spans="2:8" ht="15" x14ac:dyDescent="0.25">
      <c r="B859" s="27"/>
      <c r="C859" s="27"/>
      <c r="D859" s="27"/>
      <c r="E859" s="27"/>
      <c r="F859" s="27"/>
      <c r="G859" s="27"/>
      <c r="H859" s="27"/>
    </row>
    <row r="860" spans="2:8" ht="15" x14ac:dyDescent="0.25">
      <c r="B860" s="27"/>
      <c r="C860" s="27"/>
      <c r="D860" s="27"/>
      <c r="E860" s="27"/>
      <c r="F860" s="27"/>
      <c r="G860" s="27"/>
      <c r="H860" s="27"/>
    </row>
    <row r="861" spans="2:8" ht="15" x14ac:dyDescent="0.25">
      <c r="B861" s="27"/>
      <c r="C861" s="27"/>
      <c r="D861" s="27"/>
      <c r="E861" s="27"/>
      <c r="F861" s="27"/>
      <c r="G861" s="27"/>
      <c r="H861" s="27"/>
    </row>
    <row r="862" spans="2:8" ht="15" x14ac:dyDescent="0.25">
      <c r="B862" s="27"/>
      <c r="C862" s="27"/>
      <c r="D862" s="27"/>
      <c r="E862" s="27"/>
      <c r="F862" s="27"/>
      <c r="G862" s="27"/>
      <c r="H862" s="27"/>
    </row>
    <row r="863" spans="2:8" ht="15" x14ac:dyDescent="0.25">
      <c r="B863" s="27"/>
      <c r="C863" s="27"/>
      <c r="D863" s="27"/>
      <c r="E863" s="27"/>
      <c r="F863" s="27"/>
      <c r="G863" s="27"/>
      <c r="H863" s="27"/>
    </row>
    <row r="864" spans="2:8" ht="15" x14ac:dyDescent="0.25">
      <c r="B864" s="27"/>
      <c r="C864" s="27"/>
      <c r="D864" s="27"/>
      <c r="E864" s="27"/>
      <c r="F864" s="27"/>
      <c r="G864" s="27"/>
      <c r="H864" s="27"/>
    </row>
    <row r="865" spans="2:8" ht="15" x14ac:dyDescent="0.25">
      <c r="B865" s="27"/>
      <c r="C865" s="27"/>
      <c r="D865" s="27"/>
      <c r="E865" s="27"/>
      <c r="F865" s="27"/>
      <c r="G865" s="27"/>
      <c r="H865" s="27"/>
    </row>
    <row r="866" spans="2:8" ht="15" x14ac:dyDescent="0.25">
      <c r="B866" s="27"/>
      <c r="C866" s="27"/>
      <c r="D866" s="27"/>
      <c r="E866" s="27"/>
      <c r="F866" s="27"/>
      <c r="G866" s="27"/>
      <c r="H866" s="27"/>
    </row>
    <row r="867" spans="2:8" ht="15" x14ac:dyDescent="0.25">
      <c r="B867" s="27"/>
      <c r="C867" s="27"/>
      <c r="D867" s="27"/>
      <c r="E867" s="27"/>
      <c r="F867" s="27"/>
      <c r="G867" s="27"/>
      <c r="H867" s="27"/>
    </row>
    <row r="868" spans="2:8" ht="15" x14ac:dyDescent="0.25">
      <c r="B868" s="27"/>
      <c r="C868" s="27"/>
      <c r="D868" s="27"/>
      <c r="E868" s="27"/>
      <c r="F868" s="27"/>
      <c r="G868" s="27"/>
      <c r="H868" s="27"/>
    </row>
    <row r="869" spans="2:8" ht="15" x14ac:dyDescent="0.25">
      <c r="B869" s="27"/>
      <c r="C869" s="27"/>
      <c r="D869" s="27"/>
      <c r="E869" s="27"/>
      <c r="F869" s="27"/>
      <c r="G869" s="27"/>
      <c r="H869" s="27"/>
    </row>
    <row r="870" spans="2:8" ht="15" x14ac:dyDescent="0.25">
      <c r="B870" s="27"/>
      <c r="C870" s="27"/>
      <c r="D870" s="27"/>
      <c r="E870" s="27"/>
      <c r="F870" s="27"/>
      <c r="G870" s="27"/>
      <c r="H870" s="27"/>
    </row>
    <row r="871" spans="2:8" ht="15" x14ac:dyDescent="0.25">
      <c r="B871" s="27"/>
      <c r="C871" s="27"/>
      <c r="D871" s="27"/>
      <c r="E871" s="27"/>
      <c r="F871" s="27"/>
      <c r="G871" s="27"/>
      <c r="H871" s="27"/>
    </row>
    <row r="872" spans="2:8" ht="15" x14ac:dyDescent="0.25">
      <c r="B872" s="27"/>
      <c r="C872" s="27"/>
      <c r="D872" s="27"/>
      <c r="E872" s="27"/>
      <c r="F872" s="27"/>
      <c r="G872" s="27"/>
      <c r="H872" s="27"/>
    </row>
    <row r="873" spans="2:8" ht="15" x14ac:dyDescent="0.25">
      <c r="B873" s="27"/>
      <c r="C873" s="27"/>
      <c r="D873" s="27"/>
      <c r="E873" s="27"/>
      <c r="F873" s="27"/>
      <c r="G873" s="27"/>
      <c r="H873" s="27"/>
    </row>
    <row r="874" spans="2:8" ht="15" x14ac:dyDescent="0.25">
      <c r="B874" s="27"/>
      <c r="C874" s="27"/>
      <c r="D874" s="27"/>
      <c r="E874" s="27"/>
      <c r="F874" s="27"/>
      <c r="G874" s="27"/>
      <c r="H874" s="27"/>
    </row>
    <row r="875" spans="2:8" ht="15" x14ac:dyDescent="0.25">
      <c r="B875" s="27"/>
      <c r="C875" s="27"/>
      <c r="D875" s="27"/>
      <c r="E875" s="27"/>
      <c r="F875" s="27"/>
      <c r="G875" s="27"/>
      <c r="H875" s="27"/>
    </row>
    <row r="876" spans="2:8" ht="15" x14ac:dyDescent="0.25">
      <c r="B876" s="27"/>
      <c r="C876" s="27"/>
      <c r="D876" s="27"/>
      <c r="E876" s="27"/>
      <c r="F876" s="27"/>
      <c r="G876" s="27"/>
      <c r="H876" s="27"/>
    </row>
    <row r="877" spans="2:8" ht="15" x14ac:dyDescent="0.25">
      <c r="B877" s="27"/>
      <c r="C877" s="27"/>
      <c r="D877" s="27"/>
      <c r="E877" s="27"/>
      <c r="F877" s="27"/>
      <c r="G877" s="27"/>
      <c r="H877" s="27"/>
    </row>
    <row r="878" spans="2:8" ht="15" x14ac:dyDescent="0.25">
      <c r="B878" s="27"/>
      <c r="C878" s="27"/>
      <c r="D878" s="27"/>
      <c r="E878" s="27"/>
      <c r="F878" s="27"/>
      <c r="G878" s="27"/>
      <c r="H878" s="27"/>
    </row>
    <row r="879" spans="2:8" ht="15" x14ac:dyDescent="0.25">
      <c r="B879" s="27"/>
      <c r="C879" s="27"/>
      <c r="D879" s="27"/>
      <c r="E879" s="27"/>
      <c r="F879" s="27"/>
      <c r="G879" s="27"/>
      <c r="H879" s="27"/>
    </row>
    <row r="880" spans="2:8" ht="15" x14ac:dyDescent="0.25">
      <c r="B880" s="27"/>
      <c r="C880" s="27"/>
      <c r="D880" s="27"/>
      <c r="E880" s="27"/>
      <c r="F880" s="27"/>
      <c r="G880" s="27"/>
      <c r="H880" s="27"/>
    </row>
    <row r="881" spans="2:8" ht="15" x14ac:dyDescent="0.25">
      <c r="B881" s="27"/>
      <c r="C881" s="27"/>
      <c r="D881" s="27"/>
      <c r="E881" s="27"/>
      <c r="F881" s="27"/>
      <c r="G881" s="27"/>
      <c r="H881" s="27"/>
    </row>
    <row r="882" spans="2:8" ht="15" x14ac:dyDescent="0.25">
      <c r="B882" s="27"/>
      <c r="C882" s="27"/>
      <c r="D882" s="27"/>
      <c r="E882" s="27"/>
      <c r="F882" s="27"/>
      <c r="G882" s="27"/>
      <c r="H882" s="27"/>
    </row>
    <row r="883" spans="2:8" ht="15" x14ac:dyDescent="0.25">
      <c r="B883" s="27"/>
      <c r="C883" s="27"/>
      <c r="D883" s="27"/>
      <c r="E883" s="27"/>
      <c r="F883" s="27"/>
      <c r="G883" s="27"/>
      <c r="H883" s="27"/>
    </row>
    <row r="884" spans="2:8" ht="15" x14ac:dyDescent="0.25">
      <c r="B884" s="27"/>
      <c r="C884" s="27"/>
      <c r="D884" s="27"/>
      <c r="E884" s="27"/>
      <c r="F884" s="27"/>
      <c r="G884" s="27"/>
      <c r="H884" s="27"/>
    </row>
    <row r="885" spans="2:8" ht="15" x14ac:dyDescent="0.25">
      <c r="B885" s="27"/>
      <c r="C885" s="27"/>
      <c r="D885" s="27"/>
      <c r="E885" s="27"/>
      <c r="F885" s="27"/>
      <c r="G885" s="27"/>
      <c r="H885" s="27"/>
    </row>
    <row r="886" spans="2:8" ht="15" x14ac:dyDescent="0.25">
      <c r="B886" s="27"/>
      <c r="C886" s="27"/>
      <c r="D886" s="27"/>
      <c r="E886" s="27"/>
      <c r="F886" s="27"/>
      <c r="G886" s="27"/>
      <c r="H886" s="27"/>
    </row>
    <row r="887" spans="2:8" ht="15" x14ac:dyDescent="0.25">
      <c r="B887" s="27"/>
      <c r="C887" s="27"/>
      <c r="D887" s="27"/>
      <c r="E887" s="27"/>
      <c r="F887" s="27"/>
      <c r="G887" s="27"/>
      <c r="H887" s="27"/>
    </row>
    <row r="888" spans="2:8" ht="15" x14ac:dyDescent="0.25">
      <c r="B888" s="27"/>
      <c r="C888" s="27"/>
      <c r="D888" s="27"/>
      <c r="E888" s="27"/>
      <c r="F888" s="27"/>
      <c r="G888" s="27"/>
      <c r="H888" s="27"/>
    </row>
    <row r="889" spans="2:8" ht="15" x14ac:dyDescent="0.25">
      <c r="B889" s="27"/>
      <c r="C889" s="27"/>
      <c r="D889" s="27"/>
      <c r="E889" s="27"/>
      <c r="F889" s="27"/>
      <c r="G889" s="27"/>
      <c r="H889" s="27"/>
    </row>
    <row r="890" spans="2:8" ht="15" x14ac:dyDescent="0.25">
      <c r="B890" s="27"/>
      <c r="C890" s="27"/>
      <c r="D890" s="27"/>
      <c r="E890" s="27"/>
      <c r="F890" s="27"/>
      <c r="G890" s="27"/>
      <c r="H890" s="27"/>
    </row>
    <row r="891" spans="2:8" ht="15" x14ac:dyDescent="0.25">
      <c r="B891" s="27"/>
      <c r="C891" s="27"/>
      <c r="D891" s="27"/>
      <c r="E891" s="27"/>
      <c r="F891" s="27"/>
      <c r="G891" s="27"/>
      <c r="H891" s="27"/>
    </row>
    <row r="892" spans="2:8" ht="15" x14ac:dyDescent="0.25">
      <c r="B892" s="27"/>
      <c r="C892" s="27"/>
      <c r="D892" s="27"/>
      <c r="E892" s="27"/>
      <c r="F892" s="27"/>
      <c r="G892" s="27"/>
      <c r="H892" s="27"/>
    </row>
    <row r="893" spans="2:8" ht="15" x14ac:dyDescent="0.25">
      <c r="B893" s="27"/>
      <c r="C893" s="27"/>
      <c r="D893" s="27"/>
      <c r="E893" s="27"/>
      <c r="F893" s="27"/>
      <c r="G893" s="27"/>
      <c r="H893" s="27"/>
    </row>
    <row r="894" spans="2:8" ht="15" x14ac:dyDescent="0.25">
      <c r="B894" s="27"/>
      <c r="C894" s="27"/>
      <c r="D894" s="27"/>
      <c r="E894" s="27"/>
      <c r="F894" s="27"/>
      <c r="G894" s="27"/>
      <c r="H894" s="27"/>
    </row>
    <row r="895" spans="2:8" ht="15" x14ac:dyDescent="0.25">
      <c r="B895" s="27"/>
      <c r="C895" s="27"/>
      <c r="D895" s="27"/>
      <c r="E895" s="27"/>
      <c r="F895" s="27"/>
      <c r="G895" s="27"/>
      <c r="H895" s="27"/>
    </row>
    <row r="896" spans="2:8" ht="15" x14ac:dyDescent="0.25">
      <c r="B896" s="27"/>
      <c r="C896" s="27"/>
      <c r="D896" s="27"/>
      <c r="E896" s="27"/>
      <c r="F896" s="27"/>
      <c r="G896" s="27"/>
      <c r="H896" s="27"/>
    </row>
    <row r="897" spans="2:8" ht="15" x14ac:dyDescent="0.25">
      <c r="B897" s="27"/>
      <c r="C897" s="27"/>
      <c r="D897" s="27"/>
      <c r="E897" s="27"/>
      <c r="F897" s="27"/>
      <c r="G897" s="27"/>
      <c r="H897" s="27"/>
    </row>
    <row r="898" spans="2:8" ht="15" x14ac:dyDescent="0.25">
      <c r="B898" s="27"/>
      <c r="C898" s="27"/>
      <c r="D898" s="27"/>
      <c r="E898" s="27"/>
      <c r="F898" s="27"/>
      <c r="G898" s="27"/>
      <c r="H898" s="27"/>
    </row>
    <row r="899" spans="2:8" ht="15" x14ac:dyDescent="0.25">
      <c r="B899" s="27"/>
      <c r="C899" s="27"/>
      <c r="D899" s="27"/>
      <c r="E899" s="27"/>
      <c r="F899" s="27"/>
      <c r="G899" s="27"/>
      <c r="H899" s="27"/>
    </row>
    <row r="900" spans="2:8" ht="15" x14ac:dyDescent="0.25">
      <c r="B900" s="27"/>
      <c r="C900" s="27"/>
      <c r="D900" s="27"/>
      <c r="E900" s="27"/>
      <c r="F900" s="27"/>
      <c r="G900" s="27"/>
      <c r="H900" s="27"/>
    </row>
    <row r="901" spans="2:8" ht="15" x14ac:dyDescent="0.25">
      <c r="B901" s="27"/>
      <c r="C901" s="27"/>
      <c r="D901" s="27"/>
      <c r="E901" s="27"/>
      <c r="F901" s="27"/>
      <c r="G901" s="27"/>
      <c r="H901" s="27"/>
    </row>
    <row r="902" spans="2:8" ht="15" x14ac:dyDescent="0.25">
      <c r="B902" s="27"/>
      <c r="C902" s="27"/>
      <c r="D902" s="27"/>
      <c r="E902" s="27"/>
      <c r="F902" s="27"/>
      <c r="G902" s="27"/>
      <c r="H902" s="27"/>
    </row>
    <row r="903" spans="2:8" ht="15" x14ac:dyDescent="0.25">
      <c r="B903" s="27"/>
      <c r="C903" s="27"/>
      <c r="D903" s="27"/>
      <c r="E903" s="27"/>
      <c r="F903" s="27"/>
      <c r="G903" s="27"/>
      <c r="H903" s="27"/>
    </row>
    <row r="904" spans="2:8" ht="15" x14ac:dyDescent="0.25">
      <c r="B904" s="27"/>
      <c r="C904" s="27"/>
      <c r="D904" s="27"/>
      <c r="E904" s="27"/>
      <c r="F904" s="27"/>
      <c r="G904" s="27"/>
      <c r="H904" s="27"/>
    </row>
    <row r="905" spans="2:8" ht="15" x14ac:dyDescent="0.25">
      <c r="B905" s="27"/>
      <c r="C905" s="27"/>
      <c r="D905" s="27"/>
      <c r="E905" s="27"/>
      <c r="F905" s="27"/>
      <c r="G905" s="27"/>
      <c r="H905" s="27"/>
    </row>
    <row r="906" spans="2:8" ht="15" x14ac:dyDescent="0.25">
      <c r="B906" s="27"/>
      <c r="C906" s="27"/>
      <c r="D906" s="27"/>
      <c r="E906" s="27"/>
      <c r="F906" s="27"/>
      <c r="G906" s="27"/>
      <c r="H906" s="27"/>
    </row>
    <row r="907" spans="2:8" ht="15" x14ac:dyDescent="0.25">
      <c r="B907" s="27"/>
      <c r="C907" s="27"/>
      <c r="D907" s="27"/>
      <c r="E907" s="27"/>
      <c r="F907" s="27"/>
      <c r="G907" s="27"/>
      <c r="H907" s="27"/>
    </row>
    <row r="908" spans="2:8" ht="15" x14ac:dyDescent="0.25">
      <c r="B908" s="27"/>
      <c r="C908" s="27"/>
      <c r="D908" s="27"/>
      <c r="E908" s="27"/>
      <c r="F908" s="27"/>
      <c r="G908" s="27"/>
      <c r="H908" s="27"/>
    </row>
    <row r="909" spans="2:8" ht="15" x14ac:dyDescent="0.25">
      <c r="B909" s="27"/>
      <c r="C909" s="27"/>
      <c r="D909" s="27"/>
      <c r="E909" s="27"/>
      <c r="F909" s="27"/>
      <c r="G909" s="27"/>
      <c r="H909" s="27"/>
    </row>
    <row r="910" spans="2:8" ht="15" x14ac:dyDescent="0.25">
      <c r="B910" s="27"/>
      <c r="C910" s="27"/>
      <c r="D910" s="27"/>
      <c r="E910" s="27"/>
      <c r="F910" s="27"/>
      <c r="G910" s="27"/>
      <c r="H910" s="27"/>
    </row>
    <row r="911" spans="2:8" ht="15" x14ac:dyDescent="0.25">
      <c r="B911" s="27"/>
      <c r="C911" s="27"/>
      <c r="D911" s="27"/>
      <c r="E911" s="27"/>
      <c r="F911" s="27"/>
      <c r="G911" s="27"/>
      <c r="H911" s="27"/>
    </row>
    <row r="912" spans="2:8" ht="15" x14ac:dyDescent="0.25">
      <c r="B912" s="27"/>
      <c r="C912" s="27"/>
      <c r="D912" s="27"/>
      <c r="E912" s="27"/>
      <c r="F912" s="27"/>
      <c r="G912" s="27"/>
      <c r="H912" s="27"/>
    </row>
    <row r="913" spans="2:8" ht="15" x14ac:dyDescent="0.25">
      <c r="B913" s="27"/>
      <c r="C913" s="27"/>
      <c r="D913" s="27"/>
      <c r="E913" s="27"/>
      <c r="F913" s="27"/>
      <c r="G913" s="27"/>
      <c r="H913" s="27"/>
    </row>
    <row r="914" spans="2:8" ht="15" x14ac:dyDescent="0.25">
      <c r="B914" s="27"/>
      <c r="C914" s="27"/>
      <c r="D914" s="27"/>
      <c r="E914" s="27"/>
      <c r="F914" s="27"/>
      <c r="G914" s="27"/>
      <c r="H914" s="27"/>
    </row>
    <row r="915" spans="2:8" ht="15" x14ac:dyDescent="0.25">
      <c r="B915" s="27"/>
      <c r="C915" s="27"/>
      <c r="D915" s="27"/>
      <c r="E915" s="27"/>
      <c r="F915" s="27"/>
      <c r="G915" s="27"/>
      <c r="H915" s="27"/>
    </row>
    <row r="916" spans="2:8" ht="15" x14ac:dyDescent="0.25">
      <c r="B916" s="27"/>
      <c r="C916" s="27"/>
      <c r="D916" s="27"/>
      <c r="E916" s="27"/>
      <c r="F916" s="27"/>
      <c r="G916" s="27"/>
      <c r="H916" s="27"/>
    </row>
    <row r="917" spans="2:8" ht="15" x14ac:dyDescent="0.25">
      <c r="B917" s="27"/>
      <c r="C917" s="27"/>
      <c r="D917" s="27"/>
      <c r="E917" s="27"/>
      <c r="F917" s="27"/>
      <c r="G917" s="27"/>
      <c r="H917" s="27"/>
    </row>
    <row r="918" spans="2:8" ht="15" x14ac:dyDescent="0.25">
      <c r="B918" s="27"/>
      <c r="C918" s="27"/>
      <c r="D918" s="27"/>
      <c r="E918" s="27"/>
      <c r="F918" s="27"/>
      <c r="G918" s="27"/>
      <c r="H918" s="27"/>
    </row>
    <row r="919" spans="2:8" ht="15" x14ac:dyDescent="0.25">
      <c r="B919" s="27"/>
      <c r="C919" s="27"/>
      <c r="D919" s="27"/>
      <c r="E919" s="27"/>
      <c r="F919" s="27"/>
      <c r="G919" s="27"/>
      <c r="H919" s="27"/>
    </row>
    <row r="920" spans="2:8" ht="15" x14ac:dyDescent="0.25">
      <c r="B920" s="27"/>
      <c r="C920" s="27"/>
      <c r="D920" s="27"/>
      <c r="E920" s="27"/>
      <c r="F920" s="27"/>
      <c r="G920" s="27"/>
      <c r="H920" s="27"/>
    </row>
    <row r="921" spans="2:8" ht="15" x14ac:dyDescent="0.25">
      <c r="B921" s="27"/>
      <c r="C921" s="27"/>
      <c r="D921" s="27"/>
      <c r="E921" s="27"/>
      <c r="F921" s="27"/>
      <c r="G921" s="27"/>
      <c r="H921" s="27"/>
    </row>
    <row r="922" spans="2:8" ht="15" x14ac:dyDescent="0.25">
      <c r="B922" s="27"/>
      <c r="C922" s="27"/>
      <c r="D922" s="27"/>
      <c r="E922" s="27"/>
      <c r="F922" s="27"/>
      <c r="G922" s="27"/>
      <c r="H922" s="27"/>
    </row>
    <row r="923" spans="2:8" ht="15" x14ac:dyDescent="0.25">
      <c r="B923" s="27"/>
      <c r="C923" s="27"/>
      <c r="D923" s="27"/>
      <c r="E923" s="27"/>
      <c r="F923" s="27"/>
      <c r="G923" s="27"/>
      <c r="H923" s="27"/>
    </row>
    <row r="924" spans="2:8" ht="15" x14ac:dyDescent="0.25">
      <c r="B924" s="27"/>
      <c r="C924" s="27"/>
      <c r="D924" s="27"/>
      <c r="E924" s="27"/>
      <c r="F924" s="27"/>
      <c r="G924" s="27"/>
      <c r="H924" s="27"/>
    </row>
    <row r="925" spans="2:8" ht="15" x14ac:dyDescent="0.25">
      <c r="B925" s="27"/>
      <c r="C925" s="27"/>
      <c r="D925" s="27"/>
      <c r="E925" s="27"/>
      <c r="F925" s="27"/>
      <c r="G925" s="27"/>
      <c r="H925" s="27"/>
    </row>
    <row r="926" spans="2:8" ht="15" x14ac:dyDescent="0.25">
      <c r="B926" s="27"/>
      <c r="C926" s="27"/>
      <c r="D926" s="27"/>
      <c r="E926" s="27"/>
      <c r="F926" s="27"/>
      <c r="G926" s="27"/>
      <c r="H926" s="27"/>
    </row>
    <row r="927" spans="2:8" ht="15" x14ac:dyDescent="0.25">
      <c r="B927" s="27"/>
      <c r="C927" s="27"/>
      <c r="D927" s="27"/>
      <c r="E927" s="27"/>
      <c r="F927" s="27"/>
      <c r="G927" s="27"/>
      <c r="H927" s="27"/>
    </row>
    <row r="928" spans="2:8" ht="15" x14ac:dyDescent="0.25">
      <c r="B928" s="27"/>
      <c r="C928" s="27"/>
      <c r="D928" s="27"/>
      <c r="E928" s="27"/>
      <c r="F928" s="27"/>
      <c r="G928" s="27"/>
      <c r="H928" s="27"/>
    </row>
    <row r="929" spans="2:8" ht="15" x14ac:dyDescent="0.25">
      <c r="B929" s="27"/>
      <c r="C929" s="27"/>
      <c r="D929" s="27"/>
      <c r="E929" s="27"/>
      <c r="F929" s="27"/>
      <c r="G929" s="27"/>
      <c r="H929" s="27"/>
    </row>
    <row r="930" spans="2:8" ht="15" x14ac:dyDescent="0.25">
      <c r="B930" s="27"/>
      <c r="C930" s="27"/>
      <c r="D930" s="27"/>
      <c r="E930" s="27"/>
      <c r="F930" s="27"/>
      <c r="G930" s="27"/>
      <c r="H930" s="27"/>
    </row>
    <row r="931" spans="2:8" ht="15" x14ac:dyDescent="0.25">
      <c r="B931" s="27"/>
      <c r="C931" s="27"/>
      <c r="D931" s="27"/>
      <c r="E931" s="27"/>
      <c r="F931" s="27"/>
      <c r="G931" s="27"/>
      <c r="H931" s="27"/>
    </row>
    <row r="932" spans="2:8" ht="15" x14ac:dyDescent="0.25">
      <c r="B932" s="27"/>
      <c r="C932" s="27"/>
      <c r="D932" s="27"/>
      <c r="E932" s="27"/>
      <c r="F932" s="27"/>
      <c r="G932" s="27"/>
      <c r="H932" s="27"/>
    </row>
    <row r="933" spans="2:8" ht="15" x14ac:dyDescent="0.25">
      <c r="B933" s="27"/>
      <c r="C933" s="27"/>
      <c r="D933" s="27"/>
      <c r="E933" s="27"/>
      <c r="F933" s="27"/>
      <c r="G933" s="27"/>
      <c r="H933" s="27"/>
    </row>
    <row r="934" spans="2:8" ht="15" x14ac:dyDescent="0.25">
      <c r="B934" s="27"/>
      <c r="C934" s="27"/>
      <c r="D934" s="27"/>
      <c r="E934" s="27"/>
      <c r="F934" s="27"/>
      <c r="G934" s="27"/>
      <c r="H934" s="27"/>
    </row>
    <row r="935" spans="2:8" ht="15" x14ac:dyDescent="0.25">
      <c r="B935" s="27"/>
      <c r="C935" s="27"/>
      <c r="D935" s="27"/>
      <c r="E935" s="27"/>
      <c r="F935" s="27"/>
      <c r="G935" s="27"/>
      <c r="H935" s="27"/>
    </row>
    <row r="936" spans="2:8" ht="15" x14ac:dyDescent="0.25">
      <c r="B936" s="27"/>
      <c r="C936" s="27"/>
      <c r="D936" s="27"/>
      <c r="E936" s="27"/>
      <c r="F936" s="27"/>
      <c r="G936" s="27"/>
      <c r="H936" s="27"/>
    </row>
    <row r="937" spans="2:8" ht="15" x14ac:dyDescent="0.25">
      <c r="B937" s="27"/>
      <c r="C937" s="27"/>
      <c r="D937" s="27"/>
      <c r="E937" s="27"/>
      <c r="F937" s="27"/>
      <c r="G937" s="27"/>
      <c r="H937" s="27"/>
    </row>
    <row r="938" spans="2:8" ht="15" x14ac:dyDescent="0.25">
      <c r="B938" s="27"/>
      <c r="C938" s="27"/>
      <c r="D938" s="27"/>
      <c r="E938" s="27"/>
      <c r="F938" s="27"/>
      <c r="G938" s="27"/>
      <c r="H938" s="27"/>
    </row>
    <row r="939" spans="2:8" ht="15" x14ac:dyDescent="0.25">
      <c r="B939" s="27"/>
      <c r="C939" s="27"/>
      <c r="D939" s="27"/>
      <c r="E939" s="27"/>
      <c r="F939" s="27"/>
      <c r="G939" s="27"/>
      <c r="H939" s="27"/>
    </row>
    <row r="940" spans="2:8" ht="15" x14ac:dyDescent="0.25">
      <c r="B940" s="27"/>
      <c r="C940" s="27"/>
      <c r="D940" s="27"/>
      <c r="E940" s="27"/>
      <c r="F940" s="27"/>
      <c r="G940" s="27"/>
      <c r="H940" s="27"/>
    </row>
    <row r="941" spans="2:8" ht="15" x14ac:dyDescent="0.25">
      <c r="B941" s="27"/>
      <c r="C941" s="27"/>
      <c r="D941" s="27"/>
      <c r="E941" s="27"/>
      <c r="F941" s="27"/>
      <c r="G941" s="27"/>
      <c r="H941" s="27"/>
    </row>
    <row r="942" spans="2:8" ht="15" x14ac:dyDescent="0.25">
      <c r="B942" s="27"/>
      <c r="C942" s="27"/>
      <c r="D942" s="27"/>
      <c r="E942" s="27"/>
      <c r="F942" s="27"/>
      <c r="G942" s="27"/>
      <c r="H942" s="27"/>
    </row>
    <row r="943" spans="2:8" ht="15" x14ac:dyDescent="0.25">
      <c r="B943" s="27"/>
      <c r="C943" s="27"/>
      <c r="D943" s="27"/>
      <c r="E943" s="27"/>
      <c r="F943" s="27"/>
      <c r="G943" s="27"/>
      <c r="H943" s="27"/>
    </row>
    <row r="944" spans="2:8" ht="15" x14ac:dyDescent="0.25">
      <c r="B944" s="27"/>
      <c r="C944" s="27"/>
      <c r="D944" s="27"/>
      <c r="E944" s="27"/>
      <c r="F944" s="27"/>
      <c r="G944" s="27"/>
      <c r="H944" s="27"/>
    </row>
    <row r="945" spans="2:8" ht="15" x14ac:dyDescent="0.25">
      <c r="B945" s="27"/>
      <c r="C945" s="27"/>
      <c r="D945" s="27"/>
      <c r="E945" s="27"/>
      <c r="F945" s="27"/>
      <c r="G945" s="27"/>
      <c r="H945" s="27"/>
    </row>
    <row r="946" spans="2:8" ht="15" x14ac:dyDescent="0.25">
      <c r="B946" s="27"/>
      <c r="C946" s="27"/>
      <c r="D946" s="27"/>
      <c r="E946" s="27"/>
      <c r="F946" s="27"/>
      <c r="G946" s="27"/>
      <c r="H946" s="27"/>
    </row>
    <row r="947" spans="2:8" ht="15" x14ac:dyDescent="0.25">
      <c r="B947" s="27"/>
      <c r="C947" s="27"/>
      <c r="D947" s="27"/>
      <c r="E947" s="27"/>
      <c r="F947" s="27"/>
      <c r="G947" s="27"/>
      <c r="H947" s="27"/>
    </row>
    <row r="948" spans="2:8" ht="15" x14ac:dyDescent="0.25">
      <c r="B948" s="27"/>
      <c r="C948" s="27"/>
      <c r="D948" s="27"/>
      <c r="E948" s="27"/>
      <c r="F948" s="27"/>
      <c r="G948" s="27"/>
      <c r="H948" s="27"/>
    </row>
    <row r="949" spans="2:8" ht="15" x14ac:dyDescent="0.25">
      <c r="B949" s="27"/>
      <c r="C949" s="27"/>
      <c r="D949" s="27"/>
      <c r="E949" s="27"/>
      <c r="F949" s="27"/>
      <c r="G949" s="27"/>
      <c r="H949" s="27"/>
    </row>
    <row r="950" spans="2:8" ht="15" x14ac:dyDescent="0.25">
      <c r="B950" s="27"/>
      <c r="C950" s="27"/>
      <c r="D950" s="27"/>
      <c r="E950" s="27"/>
      <c r="F950" s="27"/>
      <c r="G950" s="27"/>
      <c r="H950" s="27"/>
    </row>
    <row r="951" spans="2:8" ht="15" x14ac:dyDescent="0.25">
      <c r="B951" s="27"/>
      <c r="C951" s="27"/>
      <c r="D951" s="27"/>
      <c r="E951" s="27"/>
      <c r="F951" s="27"/>
      <c r="G951" s="27"/>
      <c r="H951" s="27"/>
    </row>
    <row r="952" spans="2:8" ht="15" x14ac:dyDescent="0.25">
      <c r="B952" s="27"/>
      <c r="C952" s="27"/>
      <c r="D952" s="27"/>
      <c r="E952" s="27"/>
      <c r="F952" s="27"/>
      <c r="G952" s="27"/>
      <c r="H952" s="27"/>
    </row>
    <row r="953" spans="2:8" ht="15" x14ac:dyDescent="0.25">
      <c r="B953" s="27"/>
      <c r="C953" s="27"/>
      <c r="D953" s="27"/>
      <c r="E953" s="27"/>
      <c r="F953" s="27"/>
      <c r="G953" s="27"/>
      <c r="H953" s="27"/>
    </row>
    <row r="954" spans="2:8" ht="15" x14ac:dyDescent="0.25">
      <c r="B954" s="27"/>
      <c r="C954" s="27"/>
      <c r="D954" s="27"/>
      <c r="E954" s="27"/>
      <c r="F954" s="27"/>
      <c r="G954" s="27"/>
      <c r="H954" s="27"/>
    </row>
    <row r="955" spans="2:8" ht="15" x14ac:dyDescent="0.25">
      <c r="B955" s="27"/>
      <c r="C955" s="27"/>
      <c r="D955" s="27"/>
      <c r="E955" s="27"/>
      <c r="F955" s="27"/>
      <c r="G955" s="27"/>
      <c r="H955" s="27"/>
    </row>
    <row r="956" spans="2:8" ht="15" x14ac:dyDescent="0.25">
      <c r="B956" s="27"/>
      <c r="C956" s="27"/>
      <c r="D956" s="27"/>
      <c r="E956" s="27"/>
      <c r="F956" s="27"/>
      <c r="G956" s="27"/>
      <c r="H956" s="27"/>
    </row>
    <row r="957" spans="2:8" ht="15" x14ac:dyDescent="0.25">
      <c r="B957" s="27"/>
      <c r="C957" s="27"/>
      <c r="D957" s="27"/>
      <c r="E957" s="27"/>
      <c r="F957" s="27"/>
      <c r="G957" s="27"/>
      <c r="H957" s="27"/>
    </row>
    <row r="958" spans="2:8" ht="15" x14ac:dyDescent="0.25">
      <c r="B958" s="27"/>
      <c r="C958" s="27"/>
      <c r="D958" s="27"/>
      <c r="E958" s="27"/>
      <c r="F958" s="27"/>
      <c r="G958" s="27"/>
      <c r="H958" s="27"/>
    </row>
    <row r="959" spans="2:8" ht="15" x14ac:dyDescent="0.25">
      <c r="B959" s="27"/>
      <c r="C959" s="27"/>
      <c r="D959" s="27"/>
      <c r="E959" s="27"/>
      <c r="F959" s="27"/>
      <c r="G959" s="27"/>
      <c r="H959" s="27"/>
    </row>
    <row r="960" spans="2:8" ht="15" x14ac:dyDescent="0.25">
      <c r="B960" s="27"/>
      <c r="C960" s="27"/>
      <c r="D960" s="27"/>
      <c r="E960" s="27"/>
      <c r="F960" s="27"/>
      <c r="G960" s="27"/>
      <c r="H960" s="27"/>
    </row>
    <row r="961" spans="2:8" ht="15" x14ac:dyDescent="0.25">
      <c r="B961" s="27"/>
      <c r="C961" s="27"/>
      <c r="D961" s="27"/>
      <c r="E961" s="27"/>
      <c r="F961" s="27"/>
      <c r="G961" s="27"/>
      <c r="H961" s="27"/>
    </row>
    <row r="962" spans="2:8" ht="15" x14ac:dyDescent="0.25">
      <c r="B962" s="27"/>
      <c r="C962" s="27"/>
      <c r="D962" s="27"/>
      <c r="E962" s="27"/>
      <c r="F962" s="27"/>
      <c r="G962" s="27"/>
      <c r="H962" s="27"/>
    </row>
    <row r="963" spans="2:8" ht="15" x14ac:dyDescent="0.25">
      <c r="B963" s="27"/>
      <c r="C963" s="27"/>
      <c r="D963" s="27"/>
      <c r="E963" s="27"/>
      <c r="F963" s="27"/>
      <c r="G963" s="27"/>
      <c r="H963" s="27"/>
    </row>
    <row r="964" spans="2:8" ht="15" x14ac:dyDescent="0.25">
      <c r="B964" s="27"/>
      <c r="C964" s="27"/>
      <c r="D964" s="27"/>
      <c r="E964" s="27"/>
      <c r="F964" s="27"/>
      <c r="G964" s="27"/>
      <c r="H964" s="27"/>
    </row>
    <row r="965" spans="2:8" ht="15" x14ac:dyDescent="0.25">
      <c r="B965" s="27"/>
      <c r="C965" s="27"/>
      <c r="D965" s="27"/>
      <c r="E965" s="27"/>
      <c r="F965" s="27"/>
      <c r="G965" s="27"/>
      <c r="H965" s="27"/>
    </row>
    <row r="966" spans="2:8" ht="15" x14ac:dyDescent="0.25">
      <c r="B966" s="27"/>
      <c r="C966" s="27"/>
      <c r="D966" s="27"/>
      <c r="E966" s="27"/>
      <c r="F966" s="27"/>
      <c r="G966" s="27"/>
      <c r="H966" s="27"/>
    </row>
    <row r="967" spans="2:8" ht="15" x14ac:dyDescent="0.25">
      <c r="B967" s="27"/>
      <c r="C967" s="27"/>
      <c r="D967" s="27"/>
      <c r="E967" s="27"/>
      <c r="F967" s="27"/>
      <c r="G967" s="27"/>
      <c r="H967" s="27"/>
    </row>
    <row r="968" spans="2:8" ht="15" x14ac:dyDescent="0.25">
      <c r="B968" s="27"/>
      <c r="C968" s="27"/>
      <c r="D968" s="27"/>
      <c r="E968" s="27"/>
      <c r="F968" s="27"/>
      <c r="G968" s="27"/>
      <c r="H968" s="27"/>
    </row>
    <row r="969" spans="2:8" ht="15" x14ac:dyDescent="0.25">
      <c r="B969" s="27"/>
      <c r="C969" s="27"/>
      <c r="D969" s="27"/>
      <c r="E969" s="27"/>
      <c r="F969" s="27"/>
      <c r="G969" s="27"/>
      <c r="H969" s="27"/>
    </row>
    <row r="970" spans="2:8" ht="15" x14ac:dyDescent="0.25">
      <c r="B970" s="27"/>
      <c r="C970" s="27"/>
      <c r="D970" s="27"/>
      <c r="E970" s="27"/>
      <c r="F970" s="27"/>
      <c r="G970" s="27"/>
      <c r="H970" s="27"/>
    </row>
    <row r="971" spans="2:8" ht="15" x14ac:dyDescent="0.25">
      <c r="B971" s="27"/>
      <c r="C971" s="27"/>
      <c r="D971" s="27"/>
      <c r="E971" s="27"/>
      <c r="F971" s="27"/>
      <c r="G971" s="27"/>
      <c r="H971" s="27"/>
    </row>
    <row r="972" spans="2:8" ht="15" x14ac:dyDescent="0.25">
      <c r="B972" s="27"/>
      <c r="C972" s="27"/>
      <c r="D972" s="27"/>
      <c r="E972" s="27"/>
      <c r="F972" s="27"/>
      <c r="G972" s="27"/>
      <c r="H972" s="27"/>
    </row>
    <row r="973" spans="2:8" ht="15" x14ac:dyDescent="0.25">
      <c r="B973" s="27"/>
      <c r="C973" s="27"/>
      <c r="D973" s="27"/>
      <c r="E973" s="27"/>
      <c r="F973" s="27"/>
      <c r="G973" s="27"/>
      <c r="H973" s="27"/>
    </row>
    <row r="974" spans="2:8" ht="15" x14ac:dyDescent="0.25">
      <c r="B974" s="27"/>
      <c r="C974" s="27"/>
      <c r="D974" s="27"/>
      <c r="E974" s="27"/>
      <c r="F974" s="27"/>
      <c r="G974" s="27"/>
      <c r="H974" s="27"/>
    </row>
    <row r="975" spans="2:8" ht="15" x14ac:dyDescent="0.25">
      <c r="B975" s="27"/>
      <c r="C975" s="27"/>
      <c r="D975" s="27"/>
      <c r="E975" s="27"/>
      <c r="F975" s="27"/>
      <c r="G975" s="27"/>
      <c r="H975" s="27"/>
    </row>
    <row r="976" spans="2:8" ht="15" x14ac:dyDescent="0.25">
      <c r="B976" s="27"/>
      <c r="C976" s="27"/>
      <c r="D976" s="27"/>
      <c r="E976" s="27"/>
      <c r="F976" s="27"/>
      <c r="G976" s="27"/>
      <c r="H976" s="27"/>
    </row>
    <row r="977" spans="2:8" ht="15" x14ac:dyDescent="0.25">
      <c r="B977" s="27"/>
      <c r="C977" s="27"/>
      <c r="D977" s="27"/>
      <c r="E977" s="27"/>
      <c r="F977" s="27"/>
      <c r="G977" s="27"/>
      <c r="H977" s="27"/>
    </row>
    <row r="978" spans="2:8" ht="15" x14ac:dyDescent="0.25">
      <c r="B978" s="27"/>
      <c r="C978" s="27"/>
      <c r="D978" s="27"/>
      <c r="E978" s="27"/>
      <c r="F978" s="27"/>
      <c r="G978" s="27"/>
      <c r="H978" s="27"/>
    </row>
    <row r="979" spans="2:8" ht="15" x14ac:dyDescent="0.25">
      <c r="B979" s="27"/>
      <c r="C979" s="27"/>
      <c r="D979" s="27"/>
      <c r="E979" s="27"/>
      <c r="F979" s="27"/>
      <c r="G979" s="27"/>
      <c r="H979" s="27"/>
    </row>
    <row r="980" spans="2:8" ht="15" x14ac:dyDescent="0.25">
      <c r="B980" s="27"/>
      <c r="C980" s="27"/>
      <c r="D980" s="27"/>
      <c r="E980" s="27"/>
      <c r="F980" s="27"/>
      <c r="G980" s="27"/>
      <c r="H980" s="27"/>
    </row>
    <row r="981" spans="2:8" ht="15" x14ac:dyDescent="0.25">
      <c r="B981" s="27"/>
      <c r="C981" s="27"/>
      <c r="D981" s="27"/>
      <c r="E981" s="27"/>
      <c r="F981" s="27"/>
      <c r="G981" s="27"/>
      <c r="H981" s="27"/>
    </row>
    <row r="982" spans="2:8" ht="15" x14ac:dyDescent="0.25">
      <c r="B982" s="27"/>
      <c r="C982" s="27"/>
      <c r="D982" s="27"/>
      <c r="E982" s="27"/>
      <c r="F982" s="27"/>
      <c r="G982" s="27"/>
      <c r="H982" s="27"/>
    </row>
    <row r="983" spans="2:8" ht="15" x14ac:dyDescent="0.25">
      <c r="B983" s="27"/>
      <c r="C983" s="27"/>
      <c r="D983" s="27"/>
      <c r="E983" s="27"/>
      <c r="F983" s="27"/>
      <c r="G983" s="27"/>
      <c r="H983" s="27"/>
    </row>
    <row r="984" spans="2:8" ht="15" x14ac:dyDescent="0.25">
      <c r="B984" s="27"/>
      <c r="C984" s="27"/>
      <c r="D984" s="27"/>
      <c r="E984" s="27"/>
      <c r="F984" s="27"/>
      <c r="G984" s="27"/>
      <c r="H984" s="27"/>
    </row>
    <row r="985" spans="2:8" ht="15" x14ac:dyDescent="0.25">
      <c r="B985" s="27"/>
      <c r="C985" s="27"/>
      <c r="D985" s="27"/>
      <c r="E985" s="27"/>
      <c r="F985" s="27"/>
      <c r="G985" s="27"/>
      <c r="H985" s="27"/>
    </row>
    <row r="986" spans="2:8" ht="15" x14ac:dyDescent="0.25">
      <c r="B986" s="27"/>
      <c r="C986" s="27"/>
      <c r="D986" s="27"/>
      <c r="E986" s="27"/>
      <c r="F986" s="27"/>
      <c r="G986" s="27"/>
      <c r="H986" s="27"/>
    </row>
    <row r="987" spans="2:8" ht="15" x14ac:dyDescent="0.25">
      <c r="B987" s="27"/>
      <c r="C987" s="27"/>
      <c r="D987" s="27"/>
      <c r="E987" s="27"/>
      <c r="F987" s="27"/>
      <c r="G987" s="27"/>
      <c r="H987" s="27"/>
    </row>
    <row r="988" spans="2:8" ht="15" x14ac:dyDescent="0.25">
      <c r="B988" s="27"/>
      <c r="C988" s="27"/>
      <c r="D988" s="27"/>
      <c r="E988" s="27"/>
      <c r="F988" s="27"/>
      <c r="G988" s="27"/>
      <c r="H988" s="27"/>
    </row>
    <row r="989" spans="2:8" ht="15" x14ac:dyDescent="0.25">
      <c r="B989" s="27"/>
      <c r="C989" s="27"/>
      <c r="D989" s="27"/>
      <c r="E989" s="27"/>
      <c r="F989" s="27"/>
      <c r="G989" s="27"/>
      <c r="H989" s="27"/>
    </row>
    <row r="990" spans="2:8" ht="15" x14ac:dyDescent="0.25">
      <c r="B990" s="27"/>
      <c r="C990" s="27"/>
      <c r="D990" s="27"/>
      <c r="E990" s="27"/>
      <c r="F990" s="27"/>
      <c r="G990" s="27"/>
      <c r="H990" s="27"/>
    </row>
    <row r="991" spans="2:8" ht="15" x14ac:dyDescent="0.25">
      <c r="B991" s="27"/>
      <c r="C991" s="27"/>
      <c r="D991" s="27"/>
      <c r="E991" s="27"/>
      <c r="F991" s="27"/>
      <c r="G991" s="27"/>
      <c r="H991" s="27"/>
    </row>
    <row r="992" spans="2:8" ht="15" x14ac:dyDescent="0.25">
      <c r="B992" s="27"/>
      <c r="C992" s="27"/>
      <c r="D992" s="27"/>
      <c r="E992" s="27"/>
      <c r="F992" s="27"/>
      <c r="G992" s="27"/>
      <c r="H992" s="27"/>
    </row>
    <row r="993" spans="2:8" ht="15" x14ac:dyDescent="0.25">
      <c r="B993" s="27"/>
      <c r="C993" s="27"/>
      <c r="D993" s="27"/>
      <c r="E993" s="27"/>
      <c r="F993" s="27"/>
      <c r="G993" s="27"/>
      <c r="H993" s="27"/>
    </row>
    <row r="994" spans="2:8" ht="15" x14ac:dyDescent="0.25">
      <c r="B994" s="27"/>
      <c r="C994" s="27"/>
      <c r="D994" s="27"/>
      <c r="E994" s="27"/>
      <c r="F994" s="27"/>
      <c r="G994" s="27"/>
      <c r="H994" s="27"/>
    </row>
    <row r="995" spans="2:8" ht="15" x14ac:dyDescent="0.25">
      <c r="B995" s="27"/>
      <c r="C995" s="27"/>
      <c r="D995" s="27"/>
      <c r="E995" s="27"/>
      <c r="F995" s="27"/>
      <c r="G995" s="27"/>
      <c r="H995" s="27"/>
    </row>
    <row r="996" spans="2:8" ht="15" x14ac:dyDescent="0.25">
      <c r="B996" s="27"/>
      <c r="C996" s="27"/>
      <c r="D996" s="27"/>
      <c r="E996" s="27"/>
      <c r="F996" s="27"/>
      <c r="G996" s="27"/>
      <c r="H996" s="27"/>
    </row>
    <row r="997" spans="2:8" ht="15" x14ac:dyDescent="0.25">
      <c r="B997" s="27"/>
      <c r="C997" s="27"/>
      <c r="D997" s="27"/>
      <c r="E997" s="27"/>
      <c r="F997" s="27"/>
      <c r="G997" s="27"/>
      <c r="H997" s="27"/>
    </row>
    <row r="998" spans="2:8" ht="15" x14ac:dyDescent="0.25">
      <c r="B998" s="27"/>
      <c r="C998" s="27"/>
      <c r="D998" s="27"/>
      <c r="E998" s="27"/>
      <c r="F998" s="27"/>
      <c r="G998" s="27"/>
      <c r="H998" s="27"/>
    </row>
    <row r="999" spans="2:8" ht="15" x14ac:dyDescent="0.25">
      <c r="B999" s="27"/>
      <c r="C999" s="27"/>
      <c r="D999" s="27"/>
      <c r="E999" s="27"/>
      <c r="F999" s="27"/>
      <c r="G999" s="27"/>
      <c r="H999" s="27"/>
    </row>
    <row r="1000" spans="2:8" ht="15" x14ac:dyDescent="0.25">
      <c r="B1000" s="27"/>
      <c r="C1000" s="27"/>
      <c r="D1000" s="27"/>
      <c r="E1000" s="27"/>
      <c r="F1000" s="27"/>
      <c r="G1000" s="27"/>
      <c r="H1000" s="27"/>
    </row>
    <row r="1001" spans="2:8" ht="15" x14ac:dyDescent="0.25">
      <c r="B1001" s="27"/>
      <c r="C1001" s="27"/>
      <c r="D1001" s="27"/>
      <c r="E1001" s="27"/>
      <c r="F1001" s="27"/>
      <c r="G1001" s="27"/>
      <c r="H1001" s="27"/>
    </row>
    <row r="1002" spans="2:8" ht="15" x14ac:dyDescent="0.25">
      <c r="B1002" s="27"/>
      <c r="C1002" s="27"/>
      <c r="D1002" s="27"/>
      <c r="E1002" s="27"/>
      <c r="F1002" s="27"/>
      <c r="G1002" s="27"/>
      <c r="H1002" s="27"/>
    </row>
    <row r="1003" spans="2:8" ht="15" x14ac:dyDescent="0.25">
      <c r="B1003" s="27"/>
      <c r="C1003" s="27"/>
      <c r="D1003" s="27"/>
      <c r="E1003" s="27"/>
      <c r="F1003" s="27"/>
      <c r="G1003" s="27"/>
      <c r="H1003" s="27"/>
    </row>
    <row r="1004" spans="2:8" ht="15" x14ac:dyDescent="0.25">
      <c r="B1004" s="27"/>
      <c r="C1004" s="27"/>
      <c r="D1004" s="27"/>
      <c r="E1004" s="27"/>
      <c r="F1004" s="27"/>
      <c r="G1004" s="27"/>
      <c r="H1004" s="27"/>
    </row>
    <row r="1005" spans="2:8" ht="15" x14ac:dyDescent="0.25">
      <c r="B1005" s="27"/>
      <c r="C1005" s="27"/>
      <c r="D1005" s="27"/>
      <c r="E1005" s="27"/>
      <c r="F1005" s="27"/>
      <c r="G1005" s="27"/>
      <c r="H1005" s="27"/>
    </row>
    <row r="1006" spans="2:8" ht="15" x14ac:dyDescent="0.25">
      <c r="B1006" s="27"/>
      <c r="C1006" s="27"/>
      <c r="D1006" s="27"/>
      <c r="E1006" s="27"/>
      <c r="F1006" s="27"/>
      <c r="G1006" s="27"/>
      <c r="H1006" s="27"/>
    </row>
    <row r="1007" spans="2:8" ht="15" x14ac:dyDescent="0.25">
      <c r="B1007" s="27"/>
      <c r="C1007" s="27"/>
      <c r="D1007" s="27"/>
      <c r="E1007" s="27"/>
      <c r="F1007" s="27"/>
      <c r="G1007" s="27"/>
      <c r="H1007" s="27"/>
    </row>
    <row r="1008" spans="2:8" ht="15" x14ac:dyDescent="0.25">
      <c r="B1008" s="27"/>
      <c r="C1008" s="27"/>
      <c r="D1008" s="27"/>
      <c r="E1008" s="27"/>
      <c r="F1008" s="27"/>
      <c r="G1008" s="27"/>
      <c r="H1008" s="27"/>
    </row>
    <row r="1009" spans="2:8" ht="15" x14ac:dyDescent="0.25">
      <c r="B1009" s="27"/>
      <c r="C1009" s="27"/>
      <c r="D1009" s="27"/>
      <c r="E1009" s="27"/>
      <c r="F1009" s="27"/>
      <c r="G1009" s="27"/>
      <c r="H1009" s="27"/>
    </row>
    <row r="1010" spans="2:8" ht="15" x14ac:dyDescent="0.25">
      <c r="B1010" s="27"/>
      <c r="C1010" s="27"/>
      <c r="D1010" s="27"/>
      <c r="E1010" s="27"/>
      <c r="F1010" s="27"/>
      <c r="G1010" s="27"/>
      <c r="H1010" s="27"/>
    </row>
    <row r="1011" spans="2:8" ht="15" x14ac:dyDescent="0.25">
      <c r="B1011" s="27"/>
      <c r="C1011" s="27"/>
      <c r="D1011" s="27"/>
      <c r="E1011" s="27"/>
      <c r="F1011" s="27"/>
      <c r="G1011" s="27"/>
      <c r="H1011" s="27"/>
    </row>
    <row r="1012" spans="2:8" ht="15" x14ac:dyDescent="0.25">
      <c r="B1012" s="27"/>
      <c r="C1012" s="27"/>
      <c r="D1012" s="27"/>
      <c r="E1012" s="27"/>
      <c r="F1012" s="27"/>
      <c r="G1012" s="27"/>
      <c r="H1012" s="27"/>
    </row>
    <row r="1013" spans="2:8" ht="15" x14ac:dyDescent="0.25">
      <c r="B1013" s="27"/>
      <c r="C1013" s="27"/>
      <c r="D1013" s="27"/>
      <c r="E1013" s="27"/>
      <c r="F1013" s="27"/>
      <c r="G1013" s="27"/>
      <c r="H1013" s="27"/>
    </row>
    <row r="1014" spans="2:8" ht="15" x14ac:dyDescent="0.25">
      <c r="B1014" s="27"/>
      <c r="C1014" s="27"/>
      <c r="D1014" s="27"/>
      <c r="E1014" s="27"/>
      <c r="F1014" s="27"/>
      <c r="G1014" s="27"/>
      <c r="H1014" s="27"/>
    </row>
    <row r="1015" spans="2:8" ht="15" x14ac:dyDescent="0.25">
      <c r="B1015" s="27"/>
      <c r="C1015" s="27"/>
      <c r="D1015" s="27"/>
      <c r="E1015" s="27"/>
      <c r="F1015" s="27"/>
      <c r="G1015" s="27"/>
      <c r="H1015" s="27"/>
    </row>
    <row r="1016" spans="2:8" ht="15" x14ac:dyDescent="0.25">
      <c r="B1016" s="27"/>
      <c r="C1016" s="27"/>
      <c r="D1016" s="27"/>
      <c r="E1016" s="27"/>
      <c r="F1016" s="27"/>
      <c r="G1016" s="27"/>
      <c r="H1016" s="27"/>
    </row>
    <row r="1017" spans="2:8" ht="15" x14ac:dyDescent="0.25">
      <c r="B1017" s="27"/>
      <c r="C1017" s="27"/>
      <c r="D1017" s="27"/>
      <c r="E1017" s="27"/>
      <c r="F1017" s="27"/>
      <c r="G1017" s="27"/>
      <c r="H1017" s="27"/>
    </row>
    <row r="1018" spans="2:8" ht="15" x14ac:dyDescent="0.25">
      <c r="B1018" s="27"/>
      <c r="C1018" s="27"/>
      <c r="D1018" s="27"/>
      <c r="E1018" s="27"/>
      <c r="F1018" s="27"/>
      <c r="G1018" s="27"/>
      <c r="H1018" s="27"/>
    </row>
    <row r="1019" spans="2:8" ht="15" x14ac:dyDescent="0.25">
      <c r="B1019" s="27"/>
      <c r="C1019" s="27"/>
      <c r="D1019" s="27"/>
      <c r="E1019" s="27"/>
      <c r="F1019" s="27"/>
      <c r="G1019" s="27"/>
      <c r="H1019" s="27"/>
    </row>
    <row r="1020" spans="2:8" ht="15" x14ac:dyDescent="0.25">
      <c r="B1020" s="27"/>
      <c r="C1020" s="27"/>
      <c r="D1020" s="27"/>
      <c r="E1020" s="27"/>
      <c r="F1020" s="27"/>
      <c r="G1020" s="27"/>
      <c r="H1020" s="27"/>
    </row>
    <row r="1021" spans="2:8" ht="15" x14ac:dyDescent="0.25">
      <c r="B1021" s="27"/>
      <c r="C1021" s="27"/>
      <c r="D1021" s="27"/>
      <c r="E1021" s="27"/>
      <c r="F1021" s="27"/>
      <c r="G1021" s="27"/>
      <c r="H1021" s="27"/>
    </row>
    <row r="1022" spans="2:8" ht="15" x14ac:dyDescent="0.25">
      <c r="B1022" s="27"/>
      <c r="C1022" s="27"/>
      <c r="D1022" s="27"/>
      <c r="E1022" s="27"/>
      <c r="F1022" s="27"/>
      <c r="G1022" s="27"/>
      <c r="H1022" s="27"/>
    </row>
    <row r="1023" spans="2:8" ht="15" x14ac:dyDescent="0.25">
      <c r="B1023" s="27"/>
      <c r="C1023" s="27"/>
      <c r="D1023" s="27"/>
      <c r="E1023" s="27"/>
      <c r="F1023" s="27"/>
      <c r="G1023" s="27"/>
      <c r="H1023" s="27"/>
    </row>
    <row r="1024" spans="2:8" ht="15" x14ac:dyDescent="0.25">
      <c r="B1024" s="27"/>
      <c r="C1024" s="27"/>
      <c r="D1024" s="27"/>
      <c r="E1024" s="27"/>
      <c r="F1024" s="27"/>
      <c r="G1024" s="27"/>
      <c r="H1024" s="27"/>
    </row>
    <row r="1025" spans="2:8" ht="15" x14ac:dyDescent="0.25">
      <c r="B1025" s="27"/>
      <c r="C1025" s="27"/>
      <c r="D1025" s="27"/>
      <c r="E1025" s="27"/>
      <c r="F1025" s="27"/>
      <c r="G1025" s="27"/>
      <c r="H1025" s="27"/>
    </row>
    <row r="1026" spans="2:8" ht="15" x14ac:dyDescent="0.25">
      <c r="B1026" s="27"/>
      <c r="C1026" s="27"/>
      <c r="D1026" s="27"/>
      <c r="E1026" s="27"/>
      <c r="F1026" s="27"/>
      <c r="G1026" s="27"/>
      <c r="H1026" s="27"/>
    </row>
    <row r="1027" spans="2:8" ht="15" x14ac:dyDescent="0.25">
      <c r="B1027" s="27"/>
      <c r="C1027" s="27"/>
      <c r="D1027" s="27"/>
      <c r="E1027" s="27"/>
      <c r="F1027" s="27"/>
      <c r="G1027" s="27"/>
      <c r="H1027" s="27"/>
    </row>
    <row r="1028" spans="2:8" ht="15" x14ac:dyDescent="0.25">
      <c r="B1028" s="27"/>
      <c r="C1028" s="27"/>
      <c r="D1028" s="27"/>
      <c r="E1028" s="27"/>
      <c r="F1028" s="27"/>
      <c r="G1028" s="27"/>
      <c r="H1028" s="27"/>
    </row>
    <row r="1029" spans="2:8" ht="15" x14ac:dyDescent="0.25">
      <c r="B1029" s="27"/>
      <c r="C1029" s="27"/>
      <c r="D1029" s="27"/>
      <c r="E1029" s="27"/>
      <c r="F1029" s="27"/>
      <c r="G1029" s="27"/>
      <c r="H1029" s="27"/>
    </row>
    <row r="1030" spans="2:8" ht="15" x14ac:dyDescent="0.25">
      <c r="B1030" s="27"/>
      <c r="C1030" s="27"/>
      <c r="D1030" s="27"/>
      <c r="E1030" s="27"/>
      <c r="F1030" s="27"/>
      <c r="G1030" s="27"/>
      <c r="H1030" s="27"/>
    </row>
    <row r="1031" spans="2:8" ht="15" x14ac:dyDescent="0.25">
      <c r="B1031" s="27"/>
      <c r="C1031" s="27"/>
      <c r="D1031" s="27"/>
      <c r="E1031" s="27"/>
      <c r="F1031" s="27"/>
      <c r="G1031" s="27"/>
      <c r="H1031" s="27"/>
    </row>
    <row r="1032" spans="2:8" ht="15" x14ac:dyDescent="0.25">
      <c r="B1032" s="27"/>
      <c r="C1032" s="27"/>
      <c r="D1032" s="27"/>
      <c r="E1032" s="27"/>
      <c r="F1032" s="27"/>
      <c r="G1032" s="27"/>
      <c r="H1032" s="27"/>
    </row>
    <row r="1033" spans="2:8" ht="15" x14ac:dyDescent="0.25">
      <c r="B1033" s="27"/>
      <c r="C1033" s="27"/>
      <c r="D1033" s="27"/>
      <c r="E1033" s="27"/>
      <c r="F1033" s="27"/>
      <c r="G1033" s="27"/>
      <c r="H1033" s="27"/>
    </row>
    <row r="1034" spans="2:8" ht="15" x14ac:dyDescent="0.25">
      <c r="B1034" s="27"/>
      <c r="C1034" s="27"/>
      <c r="D1034" s="27"/>
      <c r="E1034" s="27"/>
      <c r="F1034" s="27"/>
      <c r="G1034" s="27"/>
      <c r="H1034" s="27"/>
    </row>
    <row r="1035" spans="2:8" ht="15" x14ac:dyDescent="0.25">
      <c r="B1035" s="27"/>
      <c r="C1035" s="27"/>
      <c r="D1035" s="27"/>
      <c r="E1035" s="27"/>
      <c r="F1035" s="27"/>
      <c r="G1035" s="27"/>
      <c r="H1035" s="27"/>
    </row>
    <row r="1036" spans="2:8" ht="15" x14ac:dyDescent="0.25">
      <c r="B1036" s="27"/>
      <c r="C1036" s="27"/>
      <c r="D1036" s="27"/>
      <c r="E1036" s="27"/>
      <c r="F1036" s="27"/>
      <c r="G1036" s="27"/>
      <c r="H1036" s="27"/>
    </row>
    <row r="1037" spans="2:8" ht="15" x14ac:dyDescent="0.25">
      <c r="B1037" s="27"/>
      <c r="C1037" s="27"/>
      <c r="D1037" s="27"/>
      <c r="E1037" s="27"/>
      <c r="F1037" s="27"/>
      <c r="G1037" s="27"/>
      <c r="H1037" s="27"/>
    </row>
    <row r="1038" spans="2:8" ht="15" x14ac:dyDescent="0.25">
      <c r="B1038" s="27"/>
      <c r="C1038" s="27"/>
      <c r="D1038" s="27"/>
      <c r="E1038" s="27"/>
      <c r="F1038" s="27"/>
      <c r="G1038" s="27"/>
      <c r="H1038" s="27"/>
    </row>
    <row r="1039" spans="2:8" ht="15" x14ac:dyDescent="0.25">
      <c r="B1039" s="27"/>
      <c r="C1039" s="27"/>
      <c r="D1039" s="27"/>
      <c r="E1039" s="27"/>
      <c r="F1039" s="27"/>
      <c r="G1039" s="27"/>
      <c r="H1039" s="27"/>
    </row>
    <row r="1040" spans="2:8" ht="15" x14ac:dyDescent="0.25">
      <c r="B1040" s="27"/>
      <c r="C1040" s="27"/>
      <c r="D1040" s="27"/>
      <c r="E1040" s="27"/>
      <c r="F1040" s="27"/>
      <c r="G1040" s="27"/>
      <c r="H1040" s="27"/>
    </row>
    <row r="1041" spans="2:8" ht="15" x14ac:dyDescent="0.25">
      <c r="B1041" s="27"/>
      <c r="C1041" s="27"/>
      <c r="D1041" s="27"/>
      <c r="E1041" s="27"/>
      <c r="F1041" s="27"/>
      <c r="G1041" s="27"/>
      <c r="H1041" s="27"/>
    </row>
    <row r="1042" spans="2:8" ht="15" x14ac:dyDescent="0.25">
      <c r="B1042" s="27"/>
      <c r="C1042" s="27"/>
      <c r="D1042" s="27"/>
      <c r="E1042" s="27"/>
      <c r="F1042" s="27"/>
      <c r="G1042" s="27"/>
      <c r="H1042" s="27"/>
    </row>
    <row r="1043" spans="2:8" ht="15" x14ac:dyDescent="0.25">
      <c r="B1043" s="27"/>
      <c r="C1043" s="27"/>
      <c r="D1043" s="27"/>
      <c r="E1043" s="27"/>
      <c r="F1043" s="27"/>
      <c r="G1043" s="27"/>
      <c r="H1043" s="27"/>
    </row>
    <row r="1044" spans="2:8" ht="15" x14ac:dyDescent="0.25">
      <c r="B1044" s="27"/>
      <c r="C1044" s="27"/>
      <c r="D1044" s="27"/>
      <c r="E1044" s="27"/>
      <c r="F1044" s="27"/>
      <c r="G1044" s="27"/>
      <c r="H1044" s="27"/>
    </row>
    <row r="1045" spans="2:8" ht="15" x14ac:dyDescent="0.25">
      <c r="B1045" s="27"/>
      <c r="C1045" s="27"/>
      <c r="D1045" s="27"/>
      <c r="E1045" s="27"/>
      <c r="F1045" s="27"/>
      <c r="G1045" s="27"/>
      <c r="H1045" s="27"/>
    </row>
    <row r="1046" spans="2:8" ht="15" x14ac:dyDescent="0.25">
      <c r="B1046" s="27"/>
      <c r="C1046" s="27"/>
      <c r="D1046" s="27"/>
      <c r="E1046" s="27"/>
      <c r="F1046" s="27"/>
      <c r="G1046" s="27"/>
      <c r="H1046" s="27"/>
    </row>
    <row r="1047" spans="2:8" ht="15" x14ac:dyDescent="0.25">
      <c r="B1047" s="27"/>
      <c r="C1047" s="27"/>
      <c r="D1047" s="27"/>
      <c r="E1047" s="27"/>
      <c r="F1047" s="27"/>
      <c r="G1047" s="27"/>
      <c r="H1047" s="27"/>
    </row>
    <row r="1048" spans="2:8" ht="15" x14ac:dyDescent="0.25">
      <c r="B1048" s="27"/>
      <c r="C1048" s="27"/>
      <c r="D1048" s="27"/>
      <c r="E1048" s="27"/>
      <c r="F1048" s="27"/>
      <c r="G1048" s="27"/>
      <c r="H1048" s="27"/>
    </row>
    <row r="1049" spans="2:8" ht="15" x14ac:dyDescent="0.25">
      <c r="B1049" s="27"/>
      <c r="C1049" s="27"/>
      <c r="D1049" s="27"/>
      <c r="E1049" s="27"/>
      <c r="F1049" s="27"/>
      <c r="G1049" s="27"/>
      <c r="H1049" s="27"/>
    </row>
    <row r="1050" spans="2:8" ht="15" x14ac:dyDescent="0.25">
      <c r="B1050" s="27"/>
      <c r="C1050" s="27"/>
      <c r="D1050" s="27"/>
      <c r="E1050" s="27"/>
      <c r="F1050" s="27"/>
      <c r="G1050" s="27"/>
      <c r="H1050" s="27"/>
    </row>
    <row r="1051" spans="2:8" ht="15" x14ac:dyDescent="0.25">
      <c r="B1051" s="27"/>
      <c r="C1051" s="27"/>
      <c r="D1051" s="27"/>
      <c r="E1051" s="27"/>
      <c r="F1051" s="27"/>
      <c r="G1051" s="27"/>
      <c r="H1051" s="27"/>
    </row>
    <row r="1052" spans="2:8" ht="15" x14ac:dyDescent="0.25">
      <c r="B1052" s="27"/>
      <c r="C1052" s="27"/>
      <c r="D1052" s="27"/>
      <c r="E1052" s="27"/>
      <c r="F1052" s="27"/>
      <c r="G1052" s="27"/>
      <c r="H1052" s="27"/>
    </row>
    <row r="1053" spans="2:8" ht="15" x14ac:dyDescent="0.25">
      <c r="B1053" s="27"/>
      <c r="C1053" s="27"/>
      <c r="D1053" s="27"/>
      <c r="E1053" s="27"/>
      <c r="F1053" s="27"/>
      <c r="G1053" s="27"/>
      <c r="H1053" s="27"/>
    </row>
    <row r="1054" spans="2:8" ht="15" x14ac:dyDescent="0.25">
      <c r="B1054" s="27"/>
      <c r="C1054" s="27"/>
      <c r="D1054" s="27"/>
      <c r="E1054" s="27"/>
      <c r="F1054" s="27"/>
      <c r="G1054" s="27"/>
      <c r="H1054" s="27"/>
    </row>
    <row r="1055" spans="2:8" ht="15" x14ac:dyDescent="0.25">
      <c r="B1055" s="27"/>
      <c r="C1055" s="27"/>
      <c r="D1055" s="27"/>
      <c r="E1055" s="27"/>
      <c r="F1055" s="27"/>
      <c r="G1055" s="27"/>
      <c r="H1055" s="27"/>
    </row>
    <row r="1056" spans="2:8" ht="15" x14ac:dyDescent="0.25">
      <c r="B1056" s="27"/>
      <c r="C1056" s="27"/>
      <c r="D1056" s="27"/>
      <c r="E1056" s="27"/>
      <c r="F1056" s="27"/>
      <c r="G1056" s="27"/>
      <c r="H1056" s="27"/>
    </row>
    <row r="1057" spans="2:8" ht="15" x14ac:dyDescent="0.25">
      <c r="B1057" s="27"/>
      <c r="C1057" s="27"/>
      <c r="D1057" s="27"/>
      <c r="E1057" s="27"/>
      <c r="F1057" s="27"/>
      <c r="G1057" s="27"/>
      <c r="H1057" s="27"/>
    </row>
    <row r="1058" spans="2:8" ht="15" x14ac:dyDescent="0.25">
      <c r="B1058" s="27"/>
      <c r="C1058" s="27"/>
      <c r="D1058" s="27"/>
      <c r="E1058" s="27"/>
      <c r="F1058" s="27"/>
      <c r="G1058" s="27"/>
      <c r="H1058" s="27"/>
    </row>
    <row r="1059" spans="2:8" ht="15" x14ac:dyDescent="0.25">
      <c r="B1059" s="27"/>
      <c r="C1059" s="27"/>
      <c r="D1059" s="27"/>
      <c r="E1059" s="27"/>
      <c r="F1059" s="27"/>
      <c r="G1059" s="27"/>
      <c r="H1059" s="27"/>
    </row>
    <row r="1060" spans="2:8" ht="15" x14ac:dyDescent="0.25">
      <c r="B1060" s="27"/>
      <c r="C1060" s="27"/>
      <c r="D1060" s="27"/>
      <c r="E1060" s="27"/>
      <c r="F1060" s="27"/>
      <c r="G1060" s="27"/>
      <c r="H1060" s="27"/>
    </row>
    <row r="1061" spans="2:8" ht="15" x14ac:dyDescent="0.25">
      <c r="B1061" s="27"/>
      <c r="C1061" s="27"/>
      <c r="D1061" s="27"/>
      <c r="E1061" s="27"/>
      <c r="F1061" s="27"/>
      <c r="G1061" s="27"/>
      <c r="H1061" s="27"/>
    </row>
    <row r="1062" spans="2:8" ht="15" x14ac:dyDescent="0.25">
      <c r="B1062" s="27"/>
      <c r="C1062" s="27"/>
      <c r="D1062" s="27"/>
      <c r="E1062" s="27"/>
      <c r="F1062" s="27"/>
      <c r="G1062" s="27"/>
      <c r="H1062" s="27"/>
    </row>
    <row r="1063" spans="2:8" ht="15" x14ac:dyDescent="0.25">
      <c r="B1063" s="27"/>
      <c r="C1063" s="27"/>
      <c r="D1063" s="27"/>
      <c r="E1063" s="27"/>
      <c r="F1063" s="27"/>
      <c r="G1063" s="27"/>
      <c r="H1063" s="27"/>
    </row>
    <row r="1064" spans="2:8" ht="15" x14ac:dyDescent="0.25">
      <c r="B1064" s="27"/>
      <c r="C1064" s="27"/>
      <c r="D1064" s="27"/>
      <c r="E1064" s="27"/>
      <c r="F1064" s="27"/>
      <c r="G1064" s="27"/>
      <c r="H1064" s="27"/>
    </row>
    <row r="1065" spans="2:8" ht="15" x14ac:dyDescent="0.25">
      <c r="B1065" s="27"/>
      <c r="C1065" s="27"/>
      <c r="D1065" s="27"/>
      <c r="E1065" s="27"/>
      <c r="F1065" s="27"/>
      <c r="G1065" s="27"/>
      <c r="H1065" s="27"/>
    </row>
    <row r="1066" spans="2:8" ht="15" x14ac:dyDescent="0.25">
      <c r="B1066" s="27"/>
      <c r="C1066" s="27"/>
      <c r="D1066" s="27"/>
      <c r="E1066" s="27"/>
      <c r="F1066" s="27"/>
      <c r="G1066" s="27"/>
      <c r="H1066" s="27"/>
    </row>
    <row r="1067" spans="2:8" ht="15" x14ac:dyDescent="0.25">
      <c r="B1067" s="27"/>
      <c r="C1067" s="27"/>
      <c r="D1067" s="27"/>
      <c r="E1067" s="27"/>
      <c r="F1067" s="27"/>
      <c r="G1067" s="27"/>
      <c r="H1067" s="27"/>
    </row>
    <row r="1068" spans="2:8" ht="15" x14ac:dyDescent="0.25">
      <c r="B1068" s="27"/>
      <c r="C1068" s="27"/>
      <c r="D1068" s="27"/>
      <c r="E1068" s="27"/>
      <c r="F1068" s="27"/>
      <c r="G1068" s="27"/>
      <c r="H1068" s="27"/>
    </row>
    <row r="1069" spans="2:8" ht="15" x14ac:dyDescent="0.25">
      <c r="B1069" s="27"/>
      <c r="C1069" s="27"/>
      <c r="D1069" s="27"/>
      <c r="E1069" s="27"/>
      <c r="F1069" s="27"/>
      <c r="G1069" s="27"/>
      <c r="H1069" s="27"/>
    </row>
    <row r="1070" spans="2:8" ht="15" x14ac:dyDescent="0.25">
      <c r="B1070" s="27"/>
      <c r="C1070" s="27"/>
      <c r="D1070" s="27"/>
      <c r="E1070" s="27"/>
      <c r="F1070" s="27"/>
      <c r="G1070" s="27"/>
      <c r="H1070" s="27"/>
    </row>
    <row r="1071" spans="2:8" ht="15" x14ac:dyDescent="0.25">
      <c r="B1071" s="27"/>
      <c r="C1071" s="27"/>
      <c r="D1071" s="27"/>
      <c r="E1071" s="27"/>
      <c r="F1071" s="27"/>
      <c r="G1071" s="27"/>
      <c r="H1071" s="27"/>
    </row>
    <row r="1072" spans="2:8" ht="15" x14ac:dyDescent="0.25">
      <c r="B1072" s="27"/>
      <c r="C1072" s="27"/>
      <c r="D1072" s="27"/>
      <c r="E1072" s="27"/>
      <c r="F1072" s="27"/>
      <c r="G1072" s="27"/>
      <c r="H1072" s="27"/>
    </row>
    <row r="1073" spans="2:8" ht="15" x14ac:dyDescent="0.25">
      <c r="B1073" s="27"/>
      <c r="C1073" s="27"/>
      <c r="D1073" s="27"/>
      <c r="E1073" s="27"/>
      <c r="F1073" s="27"/>
      <c r="G1073" s="27"/>
      <c r="H1073" s="27"/>
    </row>
    <row r="1074" spans="2:8" ht="15" x14ac:dyDescent="0.25">
      <c r="B1074" s="27"/>
      <c r="C1074" s="27"/>
      <c r="D1074" s="27"/>
      <c r="E1074" s="27"/>
      <c r="F1074" s="27"/>
      <c r="G1074" s="27"/>
      <c r="H1074" s="27"/>
    </row>
    <row r="1075" spans="2:8" ht="15" x14ac:dyDescent="0.25">
      <c r="B1075" s="27"/>
      <c r="C1075" s="27"/>
      <c r="D1075" s="27"/>
      <c r="E1075" s="27"/>
      <c r="F1075" s="27"/>
      <c r="G1075" s="27"/>
      <c r="H1075" s="27"/>
    </row>
    <row r="1076" spans="2:8" ht="15" x14ac:dyDescent="0.25">
      <c r="B1076" s="27"/>
      <c r="C1076" s="27"/>
      <c r="D1076" s="27"/>
      <c r="E1076" s="27"/>
      <c r="F1076" s="27"/>
      <c r="G1076" s="27"/>
      <c r="H1076" s="27"/>
    </row>
    <row r="1077" spans="2:8" ht="15" x14ac:dyDescent="0.25">
      <c r="B1077" s="27"/>
      <c r="C1077" s="27"/>
      <c r="D1077" s="27"/>
      <c r="E1077" s="27"/>
      <c r="F1077" s="27"/>
      <c r="G1077" s="27"/>
      <c r="H1077" s="27"/>
    </row>
    <row r="1078" spans="2:8" ht="15" x14ac:dyDescent="0.25">
      <c r="B1078" s="27"/>
      <c r="C1078" s="27"/>
      <c r="D1078" s="27"/>
      <c r="E1078" s="27"/>
      <c r="F1078" s="27"/>
      <c r="G1078" s="27"/>
      <c r="H1078" s="27"/>
    </row>
    <row r="1079" spans="2:8" ht="15" x14ac:dyDescent="0.25">
      <c r="B1079" s="27"/>
      <c r="C1079" s="27"/>
      <c r="D1079" s="27"/>
      <c r="E1079" s="27"/>
      <c r="F1079" s="27"/>
      <c r="G1079" s="27"/>
      <c r="H1079" s="27"/>
    </row>
    <row r="1080" spans="2:8" ht="15" x14ac:dyDescent="0.25">
      <c r="B1080" s="27"/>
      <c r="C1080" s="27"/>
      <c r="D1080" s="27"/>
      <c r="E1080" s="27"/>
      <c r="F1080" s="27"/>
      <c r="G1080" s="27"/>
      <c r="H1080" s="27"/>
    </row>
    <row r="1081" spans="2:8" ht="15" x14ac:dyDescent="0.25">
      <c r="B1081" s="27"/>
      <c r="C1081" s="27"/>
      <c r="D1081" s="27"/>
      <c r="E1081" s="27"/>
      <c r="F1081" s="27"/>
      <c r="G1081" s="27"/>
      <c r="H1081" s="27"/>
    </row>
    <row r="1082" spans="2:8" ht="15" x14ac:dyDescent="0.25">
      <c r="B1082" s="27"/>
      <c r="C1082" s="27"/>
      <c r="D1082" s="27"/>
      <c r="E1082" s="27"/>
      <c r="F1082" s="27"/>
      <c r="G1082" s="27"/>
      <c r="H1082" s="27"/>
    </row>
    <row r="1083" spans="2:8" ht="15" x14ac:dyDescent="0.25">
      <c r="B1083" s="27"/>
      <c r="C1083" s="27"/>
      <c r="D1083" s="27"/>
      <c r="E1083" s="27"/>
      <c r="F1083" s="27"/>
      <c r="G1083" s="27"/>
      <c r="H1083" s="27"/>
    </row>
    <row r="1084" spans="2:8" ht="15" x14ac:dyDescent="0.25">
      <c r="B1084" s="27"/>
      <c r="C1084" s="27"/>
      <c r="D1084" s="27"/>
      <c r="E1084" s="27"/>
      <c r="F1084" s="27"/>
      <c r="G1084" s="27"/>
      <c r="H1084" s="27"/>
    </row>
    <row r="1085" spans="2:8" ht="15" x14ac:dyDescent="0.25">
      <c r="B1085" s="27"/>
      <c r="C1085" s="27"/>
      <c r="D1085" s="27"/>
      <c r="E1085" s="27"/>
      <c r="F1085" s="27"/>
      <c r="G1085" s="27"/>
      <c r="H1085" s="27"/>
    </row>
    <row r="1086" spans="2:8" ht="15" x14ac:dyDescent="0.25">
      <c r="B1086" s="27"/>
      <c r="C1086" s="27"/>
      <c r="D1086" s="27"/>
      <c r="E1086" s="27"/>
      <c r="F1086" s="27"/>
      <c r="G1086" s="27"/>
      <c r="H1086" s="27"/>
    </row>
    <row r="1087" spans="2:8" ht="15" x14ac:dyDescent="0.25">
      <c r="B1087" s="27"/>
      <c r="C1087" s="27"/>
      <c r="D1087" s="27"/>
      <c r="E1087" s="27"/>
      <c r="F1087" s="27"/>
      <c r="G1087" s="27"/>
      <c r="H1087" s="27"/>
    </row>
    <row r="1088" spans="2:8" ht="15" x14ac:dyDescent="0.25">
      <c r="B1088" s="27"/>
      <c r="C1088" s="27"/>
      <c r="D1088" s="27"/>
      <c r="E1088" s="27"/>
      <c r="F1088" s="27"/>
      <c r="G1088" s="27"/>
      <c r="H1088" s="27"/>
    </row>
    <row r="1089" spans="2:8" ht="15" x14ac:dyDescent="0.25">
      <c r="B1089" s="27"/>
      <c r="C1089" s="27"/>
      <c r="D1089" s="27"/>
      <c r="E1089" s="27"/>
      <c r="F1089" s="27"/>
      <c r="G1089" s="27"/>
      <c r="H1089" s="27"/>
    </row>
    <row r="1090" spans="2:8" ht="15" x14ac:dyDescent="0.25">
      <c r="B1090" s="27"/>
      <c r="C1090" s="27"/>
      <c r="D1090" s="27"/>
      <c r="E1090" s="27"/>
      <c r="F1090" s="27"/>
      <c r="G1090" s="27"/>
      <c r="H1090" s="27"/>
    </row>
    <row r="1091" spans="2:8" ht="15" x14ac:dyDescent="0.25">
      <c r="B1091" s="27"/>
      <c r="C1091" s="27"/>
      <c r="D1091" s="27"/>
      <c r="E1091" s="27"/>
      <c r="F1091" s="27"/>
      <c r="G1091" s="27"/>
      <c r="H1091" s="27"/>
    </row>
    <row r="1092" spans="2:8" ht="15" x14ac:dyDescent="0.25">
      <c r="B1092" s="27"/>
      <c r="C1092" s="27"/>
      <c r="D1092" s="27"/>
      <c r="E1092" s="27"/>
      <c r="F1092" s="27"/>
      <c r="G1092" s="27"/>
      <c r="H1092" s="27"/>
    </row>
    <row r="1093" spans="2:8" ht="15" x14ac:dyDescent="0.25">
      <c r="B1093" s="27"/>
      <c r="C1093" s="27"/>
      <c r="D1093" s="27"/>
      <c r="E1093" s="27"/>
      <c r="F1093" s="27"/>
      <c r="G1093" s="27"/>
      <c r="H1093" s="27"/>
    </row>
    <row r="1094" spans="2:8" ht="15" x14ac:dyDescent="0.25">
      <c r="B1094" s="27"/>
      <c r="C1094" s="27"/>
      <c r="D1094" s="27"/>
      <c r="E1094" s="27"/>
      <c r="F1094" s="27"/>
      <c r="G1094" s="27"/>
      <c r="H1094" s="27"/>
    </row>
    <row r="1095" spans="2:8" ht="15" x14ac:dyDescent="0.25">
      <c r="B1095" s="27"/>
      <c r="C1095" s="27"/>
      <c r="D1095" s="27"/>
      <c r="E1095" s="27"/>
      <c r="F1095" s="27"/>
      <c r="G1095" s="27"/>
      <c r="H1095" s="27"/>
    </row>
    <row r="1096" spans="2:8" ht="15" x14ac:dyDescent="0.25">
      <c r="B1096" s="27"/>
      <c r="C1096" s="27"/>
      <c r="D1096" s="27"/>
      <c r="E1096" s="27"/>
      <c r="F1096" s="27"/>
      <c r="G1096" s="27"/>
      <c r="H1096" s="27"/>
    </row>
    <row r="1097" spans="2:8" ht="15" x14ac:dyDescent="0.25">
      <c r="B1097" s="27"/>
      <c r="C1097" s="27"/>
      <c r="D1097" s="27"/>
      <c r="E1097" s="27"/>
      <c r="F1097" s="27"/>
      <c r="G1097" s="27"/>
      <c r="H1097" s="27"/>
    </row>
    <row r="1098" spans="2:8" ht="15" x14ac:dyDescent="0.25">
      <c r="B1098" s="27"/>
      <c r="C1098" s="27"/>
      <c r="D1098" s="27"/>
      <c r="E1098" s="27"/>
      <c r="F1098" s="27"/>
      <c r="G1098" s="27"/>
      <c r="H1098" s="27"/>
    </row>
    <row r="1099" spans="2:8" ht="15" x14ac:dyDescent="0.25">
      <c r="B1099" s="27"/>
      <c r="C1099" s="27"/>
      <c r="D1099" s="27"/>
      <c r="E1099" s="27"/>
      <c r="F1099" s="27"/>
      <c r="G1099" s="27"/>
      <c r="H1099" s="27"/>
    </row>
    <row r="1100" spans="2:8" ht="15" x14ac:dyDescent="0.25">
      <c r="B1100" s="27"/>
      <c r="C1100" s="27"/>
      <c r="D1100" s="27"/>
      <c r="E1100" s="27"/>
      <c r="F1100" s="27"/>
      <c r="G1100" s="27"/>
      <c r="H1100" s="27"/>
    </row>
    <row r="1101" spans="2:8" ht="15" x14ac:dyDescent="0.25">
      <c r="B1101" s="27"/>
      <c r="C1101" s="27"/>
      <c r="D1101" s="27"/>
      <c r="E1101" s="27"/>
      <c r="F1101" s="27"/>
      <c r="G1101" s="27"/>
      <c r="H1101" s="27"/>
    </row>
    <row r="1102" spans="2:8" ht="15" x14ac:dyDescent="0.25">
      <c r="B1102" s="27"/>
      <c r="C1102" s="27"/>
      <c r="D1102" s="27"/>
      <c r="E1102" s="27"/>
      <c r="F1102" s="27"/>
      <c r="G1102" s="27"/>
      <c r="H1102" s="27"/>
    </row>
    <row r="1103" spans="2:8" ht="15" x14ac:dyDescent="0.25">
      <c r="B1103" s="27"/>
      <c r="C1103" s="27"/>
      <c r="D1103" s="27"/>
      <c r="E1103" s="27"/>
      <c r="F1103" s="27"/>
      <c r="G1103" s="27"/>
      <c r="H1103" s="27"/>
    </row>
    <row r="1104" spans="2:8" ht="15" x14ac:dyDescent="0.25">
      <c r="B1104" s="27"/>
      <c r="C1104" s="27"/>
      <c r="D1104" s="27"/>
      <c r="E1104" s="27"/>
      <c r="F1104" s="27"/>
      <c r="G1104" s="27"/>
      <c r="H1104" s="27"/>
    </row>
    <row r="1105" spans="2:8" ht="15" x14ac:dyDescent="0.25">
      <c r="B1105" s="27"/>
      <c r="C1105" s="27"/>
      <c r="D1105" s="27"/>
      <c r="E1105" s="27"/>
      <c r="F1105" s="27"/>
      <c r="G1105" s="27"/>
      <c r="H1105" s="27"/>
    </row>
    <row r="1106" spans="2:8" ht="15" x14ac:dyDescent="0.25">
      <c r="B1106" s="27"/>
      <c r="C1106" s="27"/>
      <c r="D1106" s="27"/>
      <c r="E1106" s="27"/>
      <c r="F1106" s="27"/>
      <c r="G1106" s="27"/>
      <c r="H1106" s="27"/>
    </row>
    <row r="1107" spans="2:8" ht="15" x14ac:dyDescent="0.25">
      <c r="B1107" s="27"/>
      <c r="C1107" s="27"/>
      <c r="D1107" s="27"/>
      <c r="E1107" s="27"/>
      <c r="F1107" s="27"/>
      <c r="G1107" s="27"/>
      <c r="H1107" s="27"/>
    </row>
    <row r="1108" spans="2:8" ht="15" x14ac:dyDescent="0.25">
      <c r="B1108" s="27"/>
      <c r="C1108" s="27"/>
      <c r="D1108" s="27"/>
      <c r="E1108" s="27"/>
      <c r="F1108" s="27"/>
      <c r="G1108" s="27"/>
      <c r="H1108" s="27"/>
    </row>
    <row r="1109" spans="2:8" ht="15" x14ac:dyDescent="0.25">
      <c r="B1109" s="27"/>
      <c r="C1109" s="27"/>
      <c r="D1109" s="27"/>
      <c r="E1109" s="27"/>
      <c r="F1109" s="27"/>
      <c r="G1109" s="27"/>
      <c r="H1109" s="27"/>
    </row>
    <row r="1110" spans="2:8" ht="15" x14ac:dyDescent="0.25">
      <c r="B1110" s="27"/>
      <c r="C1110" s="27"/>
      <c r="D1110" s="27"/>
      <c r="E1110" s="27"/>
      <c r="F1110" s="27"/>
      <c r="G1110" s="27"/>
      <c r="H1110" s="27"/>
    </row>
    <row r="1111" spans="2:8" ht="15" x14ac:dyDescent="0.25">
      <c r="B1111" s="27"/>
      <c r="C1111" s="27"/>
      <c r="D1111" s="27"/>
      <c r="E1111" s="27"/>
      <c r="F1111" s="27"/>
      <c r="G1111" s="27"/>
      <c r="H1111" s="27"/>
    </row>
    <row r="1112" spans="2:8" ht="15" x14ac:dyDescent="0.25">
      <c r="B1112" s="27"/>
      <c r="C1112" s="27"/>
      <c r="D1112" s="27"/>
      <c r="E1112" s="27"/>
      <c r="F1112" s="27"/>
      <c r="G1112" s="27"/>
      <c r="H1112" s="27"/>
    </row>
    <row r="1113" spans="2:8" ht="15" x14ac:dyDescent="0.25">
      <c r="B1113" s="27"/>
      <c r="C1113" s="27"/>
      <c r="D1113" s="27"/>
      <c r="E1113" s="27"/>
      <c r="F1113" s="27"/>
      <c r="G1113" s="27"/>
      <c r="H1113" s="27"/>
    </row>
    <row r="1114" spans="2:8" ht="15" x14ac:dyDescent="0.25">
      <c r="B1114" s="27"/>
      <c r="C1114" s="27"/>
      <c r="D1114" s="27"/>
      <c r="E1114" s="27"/>
      <c r="F1114" s="27"/>
      <c r="G1114" s="27"/>
      <c r="H1114" s="27"/>
    </row>
    <row r="1115" spans="2:8" ht="15" x14ac:dyDescent="0.25">
      <c r="B1115" s="27"/>
      <c r="C1115" s="27"/>
      <c r="D1115" s="27"/>
      <c r="E1115" s="27"/>
      <c r="F1115" s="27"/>
      <c r="G1115" s="27"/>
      <c r="H1115" s="27"/>
    </row>
    <row r="1116" spans="2:8" ht="15" x14ac:dyDescent="0.25">
      <c r="B1116" s="27"/>
      <c r="C1116" s="27"/>
      <c r="D1116" s="27"/>
      <c r="E1116" s="27"/>
      <c r="F1116" s="27"/>
      <c r="G1116" s="27"/>
      <c r="H1116" s="27"/>
    </row>
    <row r="1117" spans="2:8" ht="15" x14ac:dyDescent="0.25">
      <c r="B1117" s="27"/>
      <c r="C1117" s="27"/>
      <c r="D1117" s="27"/>
      <c r="E1117" s="27"/>
      <c r="F1117" s="27"/>
      <c r="G1117" s="27"/>
      <c r="H1117" s="27"/>
    </row>
    <row r="1118" spans="2:8" ht="15" x14ac:dyDescent="0.25">
      <c r="B1118" s="27"/>
      <c r="C1118" s="27"/>
      <c r="D1118" s="27"/>
      <c r="E1118" s="27"/>
      <c r="F1118" s="27"/>
      <c r="G1118" s="27"/>
      <c r="H1118" s="27"/>
    </row>
    <row r="1119" spans="2:8" ht="15" x14ac:dyDescent="0.25">
      <c r="B1119" s="27"/>
      <c r="C1119" s="27"/>
      <c r="D1119" s="27"/>
      <c r="E1119" s="27"/>
      <c r="F1119" s="27"/>
      <c r="G1119" s="27"/>
      <c r="H1119" s="27"/>
    </row>
    <row r="1120" spans="2:8" ht="15" x14ac:dyDescent="0.25">
      <c r="B1120" s="27"/>
      <c r="C1120" s="27"/>
      <c r="D1120" s="27"/>
      <c r="E1120" s="27"/>
      <c r="F1120" s="27"/>
      <c r="G1120" s="27"/>
      <c r="H1120" s="27"/>
    </row>
    <row r="1121" spans="2:8" ht="15" x14ac:dyDescent="0.25">
      <c r="B1121" s="27"/>
      <c r="C1121" s="27"/>
      <c r="D1121" s="27"/>
      <c r="E1121" s="27"/>
      <c r="F1121" s="27"/>
      <c r="G1121" s="27"/>
      <c r="H1121" s="27"/>
    </row>
    <row r="1122" spans="2:8" ht="15" x14ac:dyDescent="0.25">
      <c r="B1122" s="27"/>
      <c r="C1122" s="27"/>
      <c r="D1122" s="27"/>
      <c r="E1122" s="27"/>
      <c r="F1122" s="27"/>
      <c r="G1122" s="27"/>
      <c r="H1122" s="27"/>
    </row>
    <row r="1123" spans="2:8" ht="15" x14ac:dyDescent="0.25">
      <c r="B1123" s="27"/>
      <c r="C1123" s="27"/>
      <c r="D1123" s="27"/>
      <c r="E1123" s="27"/>
      <c r="F1123" s="27"/>
      <c r="G1123" s="27"/>
      <c r="H1123" s="27"/>
    </row>
    <row r="1124" spans="2:8" ht="15" x14ac:dyDescent="0.25">
      <c r="B1124" s="27"/>
      <c r="C1124" s="27"/>
      <c r="D1124" s="27"/>
      <c r="E1124" s="27"/>
      <c r="F1124" s="27"/>
      <c r="G1124" s="27"/>
      <c r="H1124" s="27"/>
    </row>
    <row r="1125" spans="2:8" ht="15" x14ac:dyDescent="0.25">
      <c r="B1125" s="27"/>
      <c r="C1125" s="27"/>
      <c r="D1125" s="27"/>
      <c r="E1125" s="27"/>
      <c r="F1125" s="27"/>
      <c r="G1125" s="27"/>
      <c r="H1125" s="27"/>
    </row>
    <row r="1126" spans="2:8" ht="15" x14ac:dyDescent="0.25">
      <c r="B1126" s="27"/>
      <c r="C1126" s="27"/>
      <c r="D1126" s="27"/>
      <c r="E1126" s="27"/>
      <c r="F1126" s="27"/>
      <c r="G1126" s="27"/>
      <c r="H1126" s="27"/>
    </row>
    <row r="1127" spans="2:8" ht="15" x14ac:dyDescent="0.25">
      <c r="B1127" s="27"/>
      <c r="C1127" s="27"/>
      <c r="D1127" s="27"/>
      <c r="E1127" s="27"/>
      <c r="F1127" s="27"/>
      <c r="G1127" s="27"/>
      <c r="H1127" s="27"/>
    </row>
    <row r="1128" spans="2:8" ht="15" x14ac:dyDescent="0.25">
      <c r="B1128" s="27"/>
      <c r="C1128" s="27"/>
      <c r="D1128" s="27"/>
      <c r="E1128" s="27"/>
      <c r="F1128" s="27"/>
      <c r="G1128" s="27"/>
      <c r="H1128" s="27"/>
    </row>
    <row r="1129" spans="2:8" ht="15" x14ac:dyDescent="0.25">
      <c r="B1129" s="27"/>
      <c r="C1129" s="27"/>
      <c r="D1129" s="27"/>
      <c r="E1129" s="27"/>
      <c r="F1129" s="27"/>
      <c r="G1129" s="27"/>
      <c r="H1129" s="27"/>
    </row>
    <row r="1130" spans="2:8" ht="15" x14ac:dyDescent="0.25">
      <c r="B1130" s="27"/>
      <c r="C1130" s="27"/>
      <c r="D1130" s="27"/>
      <c r="E1130" s="27"/>
      <c r="F1130" s="27"/>
      <c r="G1130" s="27"/>
      <c r="H1130" s="27"/>
    </row>
    <row r="1131" spans="2:8" ht="15" x14ac:dyDescent="0.25">
      <c r="B1131" s="27"/>
      <c r="C1131" s="27"/>
      <c r="D1131" s="27"/>
      <c r="E1131" s="27"/>
      <c r="F1131" s="27"/>
      <c r="G1131" s="27"/>
      <c r="H1131" s="27"/>
    </row>
    <row r="1132" spans="2:8" ht="15" x14ac:dyDescent="0.25">
      <c r="B1132" s="27"/>
      <c r="C1132" s="27"/>
      <c r="D1132" s="27"/>
      <c r="E1132" s="27"/>
      <c r="F1132" s="27"/>
      <c r="G1132" s="27"/>
      <c r="H1132" s="27"/>
    </row>
    <row r="1133" spans="2:8" ht="15" x14ac:dyDescent="0.25">
      <c r="B1133" s="27"/>
      <c r="C1133" s="27"/>
      <c r="D1133" s="27"/>
      <c r="E1133" s="27"/>
      <c r="F1133" s="27"/>
      <c r="G1133" s="27"/>
      <c r="H1133" s="27"/>
    </row>
    <row r="1134" spans="2:8" ht="15" x14ac:dyDescent="0.25">
      <c r="B1134" s="27"/>
      <c r="C1134" s="27"/>
      <c r="D1134" s="27"/>
      <c r="E1134" s="27"/>
      <c r="F1134" s="27"/>
      <c r="G1134" s="27"/>
      <c r="H1134" s="27"/>
    </row>
    <row r="1135" spans="2:8" ht="15" x14ac:dyDescent="0.25">
      <c r="B1135" s="27"/>
      <c r="C1135" s="27"/>
      <c r="D1135" s="27"/>
      <c r="E1135" s="27"/>
      <c r="F1135" s="27"/>
      <c r="G1135" s="27"/>
      <c r="H1135" s="27"/>
    </row>
    <row r="1136" spans="2:8" ht="15" x14ac:dyDescent="0.25">
      <c r="B1136" s="27"/>
      <c r="C1136" s="27"/>
      <c r="D1136" s="27"/>
      <c r="E1136" s="27"/>
      <c r="F1136" s="27"/>
      <c r="G1136" s="27"/>
      <c r="H1136" s="27"/>
    </row>
    <row r="1137" spans="2:8" ht="15" x14ac:dyDescent="0.25">
      <c r="B1137" s="27"/>
      <c r="C1137" s="27"/>
      <c r="D1137" s="27"/>
      <c r="E1137" s="27"/>
      <c r="F1137" s="27"/>
      <c r="G1137" s="27"/>
      <c r="H1137" s="27"/>
    </row>
    <row r="1138" spans="2:8" ht="15" x14ac:dyDescent="0.25">
      <c r="B1138" s="27"/>
      <c r="C1138" s="27"/>
      <c r="D1138" s="27"/>
      <c r="E1138" s="27"/>
      <c r="F1138" s="27"/>
      <c r="G1138" s="27"/>
      <c r="H1138" s="27"/>
    </row>
    <row r="1139" spans="2:8" ht="15" x14ac:dyDescent="0.25">
      <c r="B1139" s="27"/>
      <c r="C1139" s="27"/>
      <c r="D1139" s="27"/>
      <c r="E1139" s="27"/>
      <c r="F1139" s="27"/>
      <c r="G1139" s="27"/>
      <c r="H1139" s="27"/>
    </row>
    <row r="1140" spans="2:8" ht="15" x14ac:dyDescent="0.25">
      <c r="B1140" s="27"/>
      <c r="C1140" s="27"/>
      <c r="D1140" s="27"/>
      <c r="E1140" s="27"/>
      <c r="F1140" s="27"/>
      <c r="G1140" s="27"/>
      <c r="H1140" s="27"/>
    </row>
    <row r="1141" spans="2:8" ht="15" x14ac:dyDescent="0.25">
      <c r="B1141" s="27"/>
      <c r="C1141" s="27"/>
      <c r="D1141" s="27"/>
      <c r="E1141" s="27"/>
      <c r="F1141" s="27"/>
      <c r="G1141" s="27"/>
      <c r="H1141" s="27"/>
    </row>
    <row r="1142" spans="2:8" ht="15" x14ac:dyDescent="0.25">
      <c r="B1142" s="27"/>
      <c r="C1142" s="27"/>
      <c r="D1142" s="27"/>
      <c r="E1142" s="27"/>
      <c r="F1142" s="27"/>
      <c r="G1142" s="27"/>
      <c r="H1142" s="27"/>
    </row>
    <row r="1143" spans="2:8" ht="15" x14ac:dyDescent="0.25">
      <c r="B1143" s="27"/>
      <c r="C1143" s="27"/>
      <c r="D1143" s="27"/>
      <c r="E1143" s="27"/>
      <c r="F1143" s="27"/>
      <c r="G1143" s="27"/>
      <c r="H1143" s="27"/>
    </row>
    <row r="1144" spans="2:8" ht="15" x14ac:dyDescent="0.25">
      <c r="B1144" s="27"/>
      <c r="C1144" s="27"/>
      <c r="D1144" s="27"/>
      <c r="E1144" s="27"/>
      <c r="F1144" s="27"/>
      <c r="G1144" s="27"/>
      <c r="H1144" s="27"/>
    </row>
    <row r="1145" spans="2:8" ht="15" x14ac:dyDescent="0.25">
      <c r="B1145" s="27"/>
      <c r="C1145" s="27"/>
      <c r="D1145" s="27"/>
      <c r="E1145" s="27"/>
      <c r="F1145" s="27"/>
      <c r="G1145" s="27"/>
      <c r="H1145" s="27"/>
    </row>
    <row r="1146" spans="2:8" ht="15" x14ac:dyDescent="0.25">
      <c r="B1146" s="27"/>
      <c r="C1146" s="27"/>
      <c r="D1146" s="27"/>
      <c r="E1146" s="27"/>
      <c r="F1146" s="27"/>
      <c r="G1146" s="27"/>
      <c r="H1146" s="27"/>
    </row>
    <row r="1147" spans="2:8" ht="15" x14ac:dyDescent="0.25">
      <c r="B1147" s="27"/>
      <c r="C1147" s="27"/>
      <c r="D1147" s="27"/>
      <c r="E1147" s="27"/>
      <c r="F1147" s="27"/>
      <c r="G1147" s="27"/>
      <c r="H1147" s="27"/>
    </row>
    <row r="1148" spans="2:8" ht="15" x14ac:dyDescent="0.25">
      <c r="B1148" s="27"/>
      <c r="C1148" s="27"/>
      <c r="D1148" s="27"/>
      <c r="E1148" s="27"/>
      <c r="F1148" s="27"/>
      <c r="G1148" s="27"/>
      <c r="H1148" s="27"/>
    </row>
    <row r="1149" spans="2:8" ht="15" x14ac:dyDescent="0.25">
      <c r="B1149" s="27"/>
      <c r="C1149" s="27"/>
      <c r="D1149" s="27"/>
      <c r="E1149" s="27"/>
      <c r="F1149" s="27"/>
      <c r="G1149" s="27"/>
      <c r="H1149" s="27"/>
    </row>
    <row r="1150" spans="2:8" ht="15" x14ac:dyDescent="0.25">
      <c r="B1150" s="27"/>
      <c r="C1150" s="27"/>
      <c r="D1150" s="27"/>
      <c r="E1150" s="27"/>
      <c r="F1150" s="27"/>
      <c r="G1150" s="27"/>
      <c r="H1150" s="27"/>
    </row>
    <row r="1151" spans="2:8" ht="15" x14ac:dyDescent="0.25">
      <c r="B1151" s="27"/>
      <c r="C1151" s="27"/>
      <c r="D1151" s="27"/>
      <c r="E1151" s="27"/>
      <c r="F1151" s="27"/>
      <c r="G1151" s="27"/>
      <c r="H1151" s="27"/>
    </row>
    <row r="1152" spans="2:8" ht="15" x14ac:dyDescent="0.25">
      <c r="B1152" s="27"/>
      <c r="C1152" s="27"/>
      <c r="D1152" s="27"/>
      <c r="E1152" s="27"/>
      <c r="F1152" s="27"/>
      <c r="G1152" s="27"/>
      <c r="H1152" s="27"/>
    </row>
    <row r="1153" spans="2:8" ht="15" x14ac:dyDescent="0.25">
      <c r="B1153" s="27"/>
      <c r="C1153" s="27"/>
      <c r="D1153" s="27"/>
      <c r="E1153" s="27"/>
      <c r="F1153" s="27"/>
      <c r="G1153" s="27"/>
      <c r="H1153" s="27"/>
    </row>
    <row r="1154" spans="2:8" ht="15" x14ac:dyDescent="0.25">
      <c r="B1154" s="27"/>
      <c r="C1154" s="27"/>
      <c r="D1154" s="27"/>
      <c r="E1154" s="27"/>
      <c r="F1154" s="27"/>
      <c r="G1154" s="27"/>
      <c r="H1154" s="27"/>
    </row>
    <row r="1155" spans="2:8" ht="15" x14ac:dyDescent="0.25">
      <c r="B1155" s="27"/>
      <c r="C1155" s="27"/>
      <c r="D1155" s="27"/>
      <c r="E1155" s="27"/>
      <c r="F1155" s="27"/>
      <c r="G1155" s="27"/>
      <c r="H1155" s="27"/>
    </row>
    <row r="1156" spans="2:8" ht="15" x14ac:dyDescent="0.25">
      <c r="B1156" s="27"/>
      <c r="C1156" s="27"/>
      <c r="D1156" s="27"/>
      <c r="E1156" s="27"/>
      <c r="F1156" s="27"/>
      <c r="G1156" s="27"/>
      <c r="H1156" s="27"/>
    </row>
    <row r="1157" spans="2:8" ht="15" x14ac:dyDescent="0.25">
      <c r="B1157" s="27"/>
      <c r="C1157" s="27"/>
      <c r="D1157" s="27"/>
      <c r="E1157" s="27"/>
      <c r="F1157" s="27"/>
      <c r="G1157" s="27"/>
      <c r="H1157" s="27"/>
    </row>
    <row r="1158" spans="2:8" ht="15" x14ac:dyDescent="0.25">
      <c r="B1158" s="27"/>
      <c r="C1158" s="27"/>
      <c r="D1158" s="27"/>
      <c r="E1158" s="27"/>
      <c r="F1158" s="27"/>
      <c r="G1158" s="27"/>
      <c r="H1158" s="27"/>
    </row>
    <row r="1159" spans="2:8" ht="15" x14ac:dyDescent="0.25">
      <c r="B1159" s="27"/>
      <c r="C1159" s="27"/>
      <c r="D1159" s="27"/>
      <c r="E1159" s="27"/>
      <c r="F1159" s="27"/>
      <c r="G1159" s="27"/>
      <c r="H1159" s="27"/>
    </row>
    <row r="1160" spans="2:8" ht="15" x14ac:dyDescent="0.25">
      <c r="B1160" s="27"/>
      <c r="C1160" s="27"/>
      <c r="D1160" s="27"/>
      <c r="E1160" s="27"/>
      <c r="F1160" s="27"/>
      <c r="G1160" s="27"/>
      <c r="H1160" s="27"/>
    </row>
    <row r="1161" spans="2:8" ht="15" x14ac:dyDescent="0.25">
      <c r="B1161" s="27"/>
      <c r="C1161" s="27"/>
      <c r="D1161" s="27"/>
      <c r="E1161" s="27"/>
      <c r="F1161" s="27"/>
      <c r="G1161" s="27"/>
      <c r="H1161" s="27"/>
    </row>
    <row r="1162" spans="2:8" ht="15" x14ac:dyDescent="0.25">
      <c r="B1162" s="27"/>
      <c r="C1162" s="27"/>
      <c r="D1162" s="27"/>
      <c r="E1162" s="27"/>
      <c r="F1162" s="27"/>
      <c r="G1162" s="27"/>
      <c r="H1162" s="27"/>
    </row>
    <row r="1163" spans="2:8" ht="15" x14ac:dyDescent="0.25">
      <c r="B1163" s="27"/>
      <c r="C1163" s="27"/>
      <c r="D1163" s="27"/>
      <c r="E1163" s="27"/>
      <c r="F1163" s="27"/>
      <c r="G1163" s="27"/>
      <c r="H1163" s="27"/>
    </row>
    <row r="1164" spans="2:8" ht="15" x14ac:dyDescent="0.25">
      <c r="B1164" s="27"/>
      <c r="C1164" s="27"/>
      <c r="D1164" s="27"/>
      <c r="E1164" s="27"/>
      <c r="F1164" s="27"/>
      <c r="G1164" s="27"/>
      <c r="H1164" s="27"/>
    </row>
    <row r="1165" spans="2:8" ht="15" x14ac:dyDescent="0.25">
      <c r="B1165" s="27"/>
      <c r="C1165" s="27"/>
      <c r="D1165" s="27"/>
      <c r="E1165" s="27"/>
      <c r="F1165" s="27"/>
      <c r="G1165" s="27"/>
      <c r="H1165" s="27"/>
    </row>
    <row r="1166" spans="2:8" ht="15" x14ac:dyDescent="0.25">
      <c r="B1166" s="27"/>
      <c r="C1166" s="27"/>
      <c r="D1166" s="27"/>
      <c r="E1166" s="27"/>
      <c r="F1166" s="27"/>
      <c r="G1166" s="27"/>
      <c r="H1166" s="27"/>
    </row>
    <row r="1167" spans="2:8" ht="15" x14ac:dyDescent="0.25">
      <c r="B1167" s="27"/>
      <c r="C1167" s="27"/>
      <c r="D1167" s="27"/>
      <c r="E1167" s="27"/>
      <c r="F1167" s="27"/>
      <c r="G1167" s="27"/>
      <c r="H1167" s="27"/>
    </row>
    <row r="1168" spans="2:8" ht="15" x14ac:dyDescent="0.25">
      <c r="B1168" s="27"/>
      <c r="C1168" s="27"/>
      <c r="D1168" s="27"/>
      <c r="E1168" s="27"/>
      <c r="F1168" s="27"/>
      <c r="G1168" s="27"/>
      <c r="H1168" s="27"/>
    </row>
    <row r="1169" spans="2:8" ht="15" x14ac:dyDescent="0.25">
      <c r="B1169" s="27"/>
      <c r="C1169" s="27"/>
      <c r="D1169" s="27"/>
      <c r="E1169" s="27"/>
      <c r="F1169" s="27"/>
      <c r="G1169" s="27"/>
      <c r="H1169" s="27"/>
    </row>
    <row r="1170" spans="2:8" ht="15" x14ac:dyDescent="0.25">
      <c r="B1170" s="27"/>
      <c r="C1170" s="27"/>
      <c r="D1170" s="27"/>
      <c r="E1170" s="27"/>
      <c r="F1170" s="27"/>
      <c r="G1170" s="27"/>
      <c r="H1170" s="27"/>
    </row>
    <row r="1171" spans="2:8" ht="15" x14ac:dyDescent="0.25">
      <c r="B1171" s="27"/>
      <c r="C1171" s="27"/>
      <c r="D1171" s="27"/>
      <c r="E1171" s="27"/>
      <c r="F1171" s="27"/>
      <c r="G1171" s="27"/>
      <c r="H1171" s="27"/>
    </row>
    <row r="1172" spans="2:8" ht="15" x14ac:dyDescent="0.25">
      <c r="B1172" s="27"/>
      <c r="C1172" s="27"/>
      <c r="D1172" s="27"/>
      <c r="E1172" s="27"/>
      <c r="F1172" s="27"/>
      <c r="G1172" s="27"/>
      <c r="H1172" s="27"/>
    </row>
    <row r="1173" spans="2:8" ht="15" x14ac:dyDescent="0.25">
      <c r="B1173" s="27"/>
      <c r="C1173" s="27"/>
      <c r="D1173" s="27"/>
      <c r="E1173" s="27"/>
      <c r="F1173" s="27"/>
      <c r="G1173" s="27"/>
      <c r="H1173" s="27"/>
    </row>
    <row r="1174" spans="2:8" ht="15" x14ac:dyDescent="0.25">
      <c r="B1174" s="27"/>
      <c r="C1174" s="27"/>
      <c r="D1174" s="27"/>
      <c r="E1174" s="27"/>
      <c r="F1174" s="27"/>
      <c r="G1174" s="27"/>
      <c r="H1174" s="27"/>
    </row>
    <row r="1175" spans="2:8" ht="15" x14ac:dyDescent="0.25">
      <c r="B1175" s="27"/>
      <c r="C1175" s="27"/>
      <c r="D1175" s="27"/>
      <c r="E1175" s="27"/>
      <c r="F1175" s="27"/>
      <c r="G1175" s="27"/>
      <c r="H1175" s="27"/>
    </row>
    <row r="1176" spans="2:8" ht="15" x14ac:dyDescent="0.25">
      <c r="B1176" s="27"/>
      <c r="C1176" s="27"/>
      <c r="D1176" s="27"/>
      <c r="E1176" s="27"/>
      <c r="F1176" s="27"/>
      <c r="G1176" s="27"/>
      <c r="H1176" s="27"/>
    </row>
    <row r="1177" spans="2:8" ht="15" x14ac:dyDescent="0.25">
      <c r="B1177" s="27"/>
      <c r="C1177" s="27"/>
      <c r="D1177" s="27"/>
      <c r="E1177" s="27"/>
      <c r="F1177" s="27"/>
      <c r="G1177" s="27"/>
      <c r="H1177" s="27"/>
    </row>
    <row r="1178" spans="2:8" ht="15" x14ac:dyDescent="0.25">
      <c r="B1178" s="27"/>
      <c r="C1178" s="27"/>
      <c r="D1178" s="27"/>
      <c r="E1178" s="27"/>
      <c r="F1178" s="27"/>
      <c r="G1178" s="27"/>
      <c r="H1178" s="27"/>
    </row>
    <row r="1179" spans="2:8" ht="15" x14ac:dyDescent="0.25">
      <c r="B1179" s="27"/>
      <c r="C1179" s="27"/>
      <c r="D1179" s="27"/>
      <c r="E1179" s="27"/>
      <c r="F1179" s="27"/>
      <c r="G1179" s="27"/>
      <c r="H1179" s="27"/>
    </row>
    <row r="1180" spans="2:8" ht="15" x14ac:dyDescent="0.25">
      <c r="B1180" s="27"/>
      <c r="C1180" s="27"/>
      <c r="D1180" s="27"/>
      <c r="E1180" s="27"/>
      <c r="F1180" s="27"/>
      <c r="G1180" s="27"/>
      <c r="H1180" s="27"/>
    </row>
    <row r="1181" spans="2:8" ht="15" x14ac:dyDescent="0.25">
      <c r="B1181" s="27"/>
      <c r="C1181" s="27"/>
      <c r="D1181" s="27"/>
      <c r="E1181" s="27"/>
      <c r="F1181" s="27"/>
      <c r="G1181" s="27"/>
      <c r="H1181" s="27"/>
    </row>
    <row r="1182" spans="2:8" ht="15" x14ac:dyDescent="0.25">
      <c r="B1182" s="27"/>
      <c r="C1182" s="27"/>
      <c r="D1182" s="27"/>
      <c r="E1182" s="27"/>
      <c r="F1182" s="27"/>
      <c r="G1182" s="27"/>
      <c r="H1182" s="27"/>
    </row>
    <row r="1183" spans="2:8" ht="15" x14ac:dyDescent="0.25">
      <c r="B1183" s="27"/>
      <c r="C1183" s="27"/>
      <c r="D1183" s="27"/>
      <c r="E1183" s="27"/>
      <c r="F1183" s="27"/>
      <c r="G1183" s="27"/>
      <c r="H1183" s="27"/>
    </row>
    <row r="1184" spans="2:8" ht="15" x14ac:dyDescent="0.25">
      <c r="B1184" s="27"/>
      <c r="C1184" s="27"/>
      <c r="D1184" s="27"/>
      <c r="E1184" s="27"/>
      <c r="F1184" s="27"/>
      <c r="G1184" s="27"/>
      <c r="H1184" s="27"/>
    </row>
    <row r="1185" spans="2:8" ht="15" x14ac:dyDescent="0.25">
      <c r="B1185" s="27"/>
      <c r="C1185" s="27"/>
      <c r="D1185" s="27"/>
      <c r="E1185" s="27"/>
      <c r="F1185" s="27"/>
      <c r="G1185" s="27"/>
      <c r="H1185" s="27"/>
    </row>
    <row r="1186" spans="2:8" ht="15" x14ac:dyDescent="0.25">
      <c r="B1186" s="27"/>
      <c r="C1186" s="27"/>
      <c r="D1186" s="27"/>
      <c r="E1186" s="27"/>
      <c r="F1186" s="27"/>
      <c r="G1186" s="27"/>
      <c r="H1186" s="27"/>
    </row>
    <row r="1187" spans="2:8" ht="15" x14ac:dyDescent="0.25">
      <c r="B1187" s="27"/>
      <c r="C1187" s="27"/>
      <c r="D1187" s="27"/>
      <c r="E1187" s="27"/>
      <c r="F1187" s="27"/>
      <c r="G1187" s="27"/>
      <c r="H1187" s="27"/>
    </row>
    <row r="1188" spans="2:8" ht="15" x14ac:dyDescent="0.25">
      <c r="B1188" s="27"/>
      <c r="C1188" s="27"/>
      <c r="D1188" s="27"/>
      <c r="E1188" s="27"/>
      <c r="F1188" s="27"/>
      <c r="G1188" s="27"/>
      <c r="H1188" s="27"/>
    </row>
    <row r="1189" spans="2:8" ht="15" x14ac:dyDescent="0.25">
      <c r="B1189" s="27"/>
      <c r="C1189" s="27"/>
      <c r="D1189" s="27"/>
      <c r="E1189" s="27"/>
      <c r="F1189" s="27"/>
      <c r="G1189" s="27"/>
      <c r="H1189" s="27"/>
    </row>
    <row r="1190" spans="2:8" ht="15" x14ac:dyDescent="0.25">
      <c r="B1190" s="27"/>
      <c r="C1190" s="27"/>
      <c r="D1190" s="27"/>
      <c r="E1190" s="27"/>
      <c r="F1190" s="27"/>
      <c r="G1190" s="27"/>
      <c r="H1190" s="27"/>
    </row>
    <row r="1191" spans="2:8" ht="15" x14ac:dyDescent="0.25">
      <c r="B1191" s="27"/>
      <c r="C1191" s="27"/>
      <c r="D1191" s="27"/>
      <c r="E1191" s="27"/>
      <c r="F1191" s="27"/>
      <c r="G1191" s="27"/>
      <c r="H1191" s="27"/>
    </row>
    <row r="1192" spans="2:8" ht="15" x14ac:dyDescent="0.25">
      <c r="B1192" s="27"/>
      <c r="C1192" s="27"/>
      <c r="D1192" s="27"/>
      <c r="E1192" s="27"/>
      <c r="F1192" s="27"/>
      <c r="G1192" s="27"/>
      <c r="H1192" s="27"/>
    </row>
    <row r="1193" spans="2:8" ht="15" x14ac:dyDescent="0.25">
      <c r="B1193" s="27"/>
      <c r="C1193" s="27"/>
      <c r="D1193" s="27"/>
      <c r="E1193" s="27"/>
      <c r="F1193" s="27"/>
      <c r="G1193" s="27"/>
      <c r="H1193" s="27"/>
    </row>
    <row r="1194" spans="2:8" ht="15" x14ac:dyDescent="0.25">
      <c r="B1194" s="27"/>
      <c r="C1194" s="27"/>
      <c r="D1194" s="27"/>
      <c r="E1194" s="27"/>
      <c r="F1194" s="27"/>
      <c r="G1194" s="27"/>
      <c r="H1194" s="27"/>
    </row>
    <row r="1195" spans="2:8" ht="15" x14ac:dyDescent="0.25">
      <c r="B1195" s="27"/>
      <c r="C1195" s="27"/>
      <c r="D1195" s="27"/>
      <c r="E1195" s="27"/>
      <c r="F1195" s="27"/>
      <c r="G1195" s="27"/>
      <c r="H1195" s="27"/>
    </row>
    <row r="1196" spans="2:8" ht="15" x14ac:dyDescent="0.25">
      <c r="B1196" s="27"/>
      <c r="C1196" s="27"/>
      <c r="D1196" s="27"/>
      <c r="E1196" s="27"/>
      <c r="F1196" s="27"/>
      <c r="G1196" s="27"/>
      <c r="H1196" s="27"/>
    </row>
    <row r="1197" spans="2:8" ht="15" x14ac:dyDescent="0.25">
      <c r="B1197" s="27"/>
      <c r="C1197" s="27"/>
      <c r="D1197" s="27"/>
      <c r="E1197" s="27"/>
      <c r="F1197" s="27"/>
      <c r="G1197" s="27"/>
      <c r="H1197" s="27"/>
    </row>
    <row r="1198" spans="2:8" ht="15" x14ac:dyDescent="0.25">
      <c r="B1198" s="27"/>
      <c r="C1198" s="27"/>
      <c r="D1198" s="27"/>
      <c r="E1198" s="27"/>
      <c r="F1198" s="27"/>
      <c r="G1198" s="27"/>
      <c r="H1198" s="27"/>
    </row>
    <row r="1199" spans="2:8" ht="15" x14ac:dyDescent="0.25">
      <c r="B1199" s="27"/>
      <c r="C1199" s="27"/>
      <c r="D1199" s="27"/>
      <c r="E1199" s="27"/>
      <c r="F1199" s="27"/>
      <c r="G1199" s="27"/>
      <c r="H1199" s="27"/>
    </row>
    <row r="1200" spans="2:8" ht="15" x14ac:dyDescent="0.25">
      <c r="B1200" s="27"/>
      <c r="C1200" s="27"/>
      <c r="D1200" s="27"/>
      <c r="E1200" s="27"/>
      <c r="F1200" s="27"/>
      <c r="G1200" s="27"/>
      <c r="H1200" s="27"/>
    </row>
    <row r="1201" spans="2:8" ht="15" x14ac:dyDescent="0.25">
      <c r="B1201" s="27"/>
      <c r="C1201" s="27"/>
      <c r="D1201" s="27"/>
      <c r="E1201" s="27"/>
      <c r="F1201" s="27"/>
      <c r="G1201" s="27"/>
      <c r="H1201" s="27"/>
    </row>
    <row r="1202" spans="2:8" ht="15" x14ac:dyDescent="0.25">
      <c r="B1202" s="27"/>
      <c r="C1202" s="27"/>
      <c r="D1202" s="27"/>
      <c r="E1202" s="27"/>
      <c r="F1202" s="27"/>
      <c r="G1202" s="27"/>
      <c r="H1202" s="27"/>
    </row>
    <row r="1203" spans="2:8" ht="15" x14ac:dyDescent="0.25">
      <c r="B1203" s="27"/>
      <c r="C1203" s="27"/>
      <c r="D1203" s="27"/>
      <c r="E1203" s="27"/>
      <c r="F1203" s="27"/>
      <c r="G1203" s="27"/>
      <c r="H1203" s="27"/>
    </row>
    <row r="1204" spans="2:8" ht="15" x14ac:dyDescent="0.25">
      <c r="B1204" s="27"/>
      <c r="C1204" s="27"/>
      <c r="D1204" s="27"/>
      <c r="E1204" s="27"/>
      <c r="F1204" s="27"/>
      <c r="G1204" s="27"/>
      <c r="H1204" s="27"/>
    </row>
    <row r="1205" spans="2:8" ht="15" x14ac:dyDescent="0.25">
      <c r="B1205" s="27"/>
      <c r="C1205" s="27"/>
      <c r="D1205" s="27"/>
      <c r="E1205" s="27"/>
      <c r="F1205" s="27"/>
      <c r="G1205" s="27"/>
      <c r="H1205" s="27"/>
    </row>
    <row r="1206" spans="2:8" ht="15" x14ac:dyDescent="0.25">
      <c r="B1206" s="27"/>
      <c r="C1206" s="27"/>
      <c r="D1206" s="27"/>
      <c r="E1206" s="27"/>
      <c r="F1206" s="27"/>
      <c r="G1206" s="27"/>
      <c r="H1206" s="27"/>
    </row>
    <row r="1207" spans="2:8" ht="15" x14ac:dyDescent="0.25">
      <c r="B1207" s="27"/>
      <c r="C1207" s="27"/>
      <c r="D1207" s="27"/>
      <c r="E1207" s="27"/>
      <c r="F1207" s="27"/>
      <c r="G1207" s="27"/>
      <c r="H1207" s="27"/>
    </row>
    <row r="1208" spans="2:8" ht="15" x14ac:dyDescent="0.25">
      <c r="B1208" s="27"/>
      <c r="C1208" s="27"/>
      <c r="D1208" s="27"/>
      <c r="E1208" s="27"/>
      <c r="F1208" s="27"/>
      <c r="G1208" s="27"/>
      <c r="H1208" s="27"/>
    </row>
    <row r="1209" spans="2:8" ht="15" x14ac:dyDescent="0.25">
      <c r="B1209" s="27"/>
      <c r="C1209" s="27"/>
      <c r="D1209" s="27"/>
      <c r="E1209" s="27"/>
      <c r="F1209" s="27"/>
      <c r="G1209" s="27"/>
      <c r="H1209" s="27"/>
    </row>
    <row r="1210" spans="2:8" ht="15" x14ac:dyDescent="0.25">
      <c r="B1210" s="27"/>
      <c r="C1210" s="27"/>
      <c r="D1210" s="27"/>
      <c r="E1210" s="27"/>
      <c r="F1210" s="27"/>
      <c r="G1210" s="27"/>
      <c r="H1210" s="27"/>
    </row>
    <row r="1211" spans="2:8" ht="15" x14ac:dyDescent="0.25">
      <c r="B1211" s="27"/>
      <c r="C1211" s="27"/>
      <c r="D1211" s="27"/>
      <c r="E1211" s="27"/>
      <c r="F1211" s="27"/>
      <c r="G1211" s="27"/>
      <c r="H1211" s="27"/>
    </row>
    <row r="1212" spans="2:8" ht="15" x14ac:dyDescent="0.25">
      <c r="B1212" s="27"/>
      <c r="C1212" s="27"/>
      <c r="D1212" s="27"/>
      <c r="E1212" s="27"/>
      <c r="F1212" s="27"/>
      <c r="G1212" s="27"/>
      <c r="H1212" s="27"/>
    </row>
    <row r="1213" spans="2:8" ht="15" x14ac:dyDescent="0.25">
      <c r="B1213" s="27"/>
      <c r="C1213" s="27"/>
      <c r="D1213" s="27"/>
      <c r="E1213" s="27"/>
      <c r="F1213" s="27"/>
      <c r="G1213" s="27"/>
      <c r="H1213" s="27"/>
    </row>
    <row r="1214" spans="2:8" ht="15" x14ac:dyDescent="0.25">
      <c r="B1214" s="27"/>
      <c r="C1214" s="27"/>
      <c r="D1214" s="27"/>
      <c r="E1214" s="27"/>
      <c r="F1214" s="27"/>
      <c r="G1214" s="27"/>
      <c r="H1214" s="27"/>
    </row>
    <row r="1215" spans="2:8" ht="15" x14ac:dyDescent="0.25">
      <c r="B1215" s="27"/>
      <c r="C1215" s="27"/>
      <c r="D1215" s="27"/>
      <c r="E1215" s="27"/>
      <c r="F1215" s="27"/>
      <c r="G1215" s="27"/>
      <c r="H1215" s="27"/>
    </row>
    <row r="1216" spans="2:8" ht="15" x14ac:dyDescent="0.25">
      <c r="B1216" s="27"/>
      <c r="C1216" s="27"/>
      <c r="D1216" s="27"/>
      <c r="E1216" s="27"/>
      <c r="F1216" s="27"/>
      <c r="G1216" s="27"/>
      <c r="H1216" s="27"/>
    </row>
    <row r="1217" spans="2:8" ht="15" x14ac:dyDescent="0.25">
      <c r="B1217" s="27"/>
      <c r="C1217" s="27"/>
      <c r="D1217" s="27"/>
      <c r="E1217" s="27"/>
      <c r="F1217" s="27"/>
      <c r="G1217" s="27"/>
      <c r="H1217" s="27"/>
    </row>
    <row r="1218" spans="2:8" ht="15" x14ac:dyDescent="0.25">
      <c r="B1218" s="27"/>
      <c r="C1218" s="27"/>
      <c r="D1218" s="27"/>
      <c r="E1218" s="27"/>
      <c r="F1218" s="27"/>
      <c r="G1218" s="27"/>
      <c r="H1218" s="27"/>
    </row>
    <row r="1219" spans="2:8" ht="15" x14ac:dyDescent="0.25">
      <c r="B1219" s="27"/>
      <c r="C1219" s="27"/>
      <c r="D1219" s="27"/>
      <c r="E1219" s="27"/>
      <c r="F1219" s="27"/>
      <c r="G1219" s="27"/>
      <c r="H1219" s="27"/>
    </row>
    <row r="1220" spans="2:8" ht="15" x14ac:dyDescent="0.25">
      <c r="B1220" s="27"/>
      <c r="C1220" s="27"/>
      <c r="D1220" s="27"/>
      <c r="E1220" s="27"/>
      <c r="F1220" s="27"/>
      <c r="G1220" s="27"/>
      <c r="H1220" s="27"/>
    </row>
    <row r="1221" spans="2:8" ht="15" x14ac:dyDescent="0.25">
      <c r="B1221" s="27"/>
      <c r="C1221" s="27"/>
      <c r="D1221" s="27"/>
      <c r="E1221" s="27"/>
      <c r="F1221" s="27"/>
      <c r="G1221" s="27"/>
      <c r="H1221" s="27"/>
    </row>
    <row r="1222" spans="2:8" ht="15" x14ac:dyDescent="0.25">
      <c r="B1222" s="27"/>
      <c r="C1222" s="27"/>
      <c r="D1222" s="27"/>
      <c r="E1222" s="27"/>
      <c r="F1222" s="27"/>
      <c r="G1222" s="27"/>
      <c r="H1222" s="27"/>
    </row>
    <row r="1223" spans="2:8" ht="15" x14ac:dyDescent="0.25">
      <c r="B1223" s="27"/>
      <c r="C1223" s="27"/>
      <c r="D1223" s="27"/>
      <c r="E1223" s="27"/>
      <c r="F1223" s="27"/>
      <c r="G1223" s="27"/>
      <c r="H1223" s="27"/>
    </row>
    <row r="1224" spans="2:8" ht="15" x14ac:dyDescent="0.25">
      <c r="B1224" s="27"/>
      <c r="C1224" s="27"/>
      <c r="D1224" s="27"/>
      <c r="E1224" s="27"/>
      <c r="F1224" s="27"/>
      <c r="G1224" s="27"/>
      <c r="H1224" s="27"/>
    </row>
    <row r="1225" spans="2:8" ht="15" x14ac:dyDescent="0.25">
      <c r="B1225" s="27"/>
      <c r="C1225" s="27"/>
      <c r="D1225" s="27"/>
      <c r="E1225" s="27"/>
      <c r="F1225" s="27"/>
      <c r="G1225" s="27"/>
      <c r="H1225" s="27"/>
    </row>
    <row r="1226" spans="2:8" ht="15" x14ac:dyDescent="0.25">
      <c r="B1226" s="27"/>
      <c r="C1226" s="27"/>
      <c r="D1226" s="27"/>
      <c r="E1226" s="27"/>
      <c r="F1226" s="27"/>
      <c r="G1226" s="27"/>
      <c r="H1226" s="27"/>
    </row>
    <row r="1227" spans="2:8" ht="15" x14ac:dyDescent="0.25">
      <c r="B1227" s="27"/>
      <c r="C1227" s="27"/>
      <c r="D1227" s="27"/>
      <c r="E1227" s="27"/>
      <c r="F1227" s="27"/>
      <c r="G1227" s="27"/>
      <c r="H1227" s="27"/>
    </row>
    <row r="1228" spans="2:8" ht="15" x14ac:dyDescent="0.25">
      <c r="B1228" s="27"/>
      <c r="C1228" s="27"/>
      <c r="D1228" s="27"/>
      <c r="E1228" s="27"/>
      <c r="F1228" s="27"/>
      <c r="G1228" s="27"/>
      <c r="H1228" s="27"/>
    </row>
    <row r="1229" spans="2:8" ht="15" x14ac:dyDescent="0.25">
      <c r="B1229" s="27"/>
      <c r="C1229" s="27"/>
      <c r="D1229" s="27"/>
      <c r="E1229" s="27"/>
      <c r="F1229" s="27"/>
      <c r="G1229" s="27"/>
      <c r="H1229" s="27"/>
    </row>
    <row r="1230" spans="2:8" ht="15" x14ac:dyDescent="0.25">
      <c r="B1230" s="27"/>
      <c r="C1230" s="27"/>
      <c r="D1230" s="27"/>
      <c r="E1230" s="27"/>
      <c r="F1230" s="27"/>
      <c r="G1230" s="27"/>
      <c r="H1230" s="27"/>
    </row>
    <row r="1231" spans="2:8" ht="15" x14ac:dyDescent="0.25">
      <c r="B1231" s="27"/>
      <c r="C1231" s="27"/>
      <c r="D1231" s="27"/>
      <c r="E1231" s="27"/>
      <c r="F1231" s="27"/>
      <c r="G1231" s="27"/>
      <c r="H1231" s="27"/>
    </row>
    <row r="1232" spans="2:8" ht="15" x14ac:dyDescent="0.25">
      <c r="B1232" s="27"/>
      <c r="C1232" s="27"/>
      <c r="D1232" s="27"/>
      <c r="E1232" s="27"/>
      <c r="F1232" s="27"/>
      <c r="G1232" s="27"/>
      <c r="H1232" s="27"/>
    </row>
    <row r="1233" spans="2:8" ht="15" x14ac:dyDescent="0.25">
      <c r="B1233" s="27"/>
      <c r="C1233" s="27"/>
      <c r="D1233" s="27"/>
      <c r="E1233" s="27"/>
      <c r="F1233" s="27"/>
      <c r="G1233" s="27"/>
      <c r="H1233" s="27"/>
    </row>
    <row r="1234" spans="2:8" ht="15" x14ac:dyDescent="0.25">
      <c r="B1234" s="27"/>
      <c r="C1234" s="27"/>
      <c r="D1234" s="27"/>
      <c r="E1234" s="27"/>
      <c r="F1234" s="27"/>
      <c r="G1234" s="27"/>
      <c r="H1234" s="27"/>
    </row>
    <row r="1235" spans="2:8" ht="15" x14ac:dyDescent="0.25">
      <c r="B1235" s="27"/>
      <c r="C1235" s="27"/>
      <c r="D1235" s="27"/>
      <c r="E1235" s="27"/>
      <c r="F1235" s="27"/>
      <c r="G1235" s="27"/>
      <c r="H1235" s="27"/>
    </row>
    <row r="1236" spans="2:8" ht="15" x14ac:dyDescent="0.25">
      <c r="B1236" s="27"/>
      <c r="C1236" s="27"/>
      <c r="D1236" s="27"/>
      <c r="E1236" s="27"/>
      <c r="F1236" s="27"/>
      <c r="G1236" s="27"/>
      <c r="H1236" s="27"/>
    </row>
    <row r="1237" spans="2:8" ht="15" x14ac:dyDescent="0.25">
      <c r="B1237" s="27"/>
      <c r="C1237" s="27"/>
      <c r="D1237" s="27"/>
      <c r="E1237" s="27"/>
      <c r="F1237" s="27"/>
      <c r="G1237" s="27"/>
      <c r="H1237" s="27"/>
    </row>
    <row r="1238" spans="2:8" ht="15" x14ac:dyDescent="0.25">
      <c r="B1238" s="27"/>
      <c r="C1238" s="27"/>
      <c r="D1238" s="27"/>
      <c r="E1238" s="27"/>
      <c r="F1238" s="27"/>
      <c r="G1238" s="27"/>
      <c r="H1238" s="27"/>
    </row>
    <row r="1239" spans="2:8" ht="15" x14ac:dyDescent="0.25">
      <c r="B1239" s="27"/>
      <c r="C1239" s="27"/>
      <c r="D1239" s="27"/>
      <c r="E1239" s="27"/>
      <c r="F1239" s="27"/>
      <c r="G1239" s="27"/>
      <c r="H1239" s="27"/>
    </row>
    <row r="1240" spans="2:8" ht="15" x14ac:dyDescent="0.25">
      <c r="B1240" s="27"/>
      <c r="C1240" s="27"/>
      <c r="D1240" s="27"/>
      <c r="E1240" s="27"/>
      <c r="F1240" s="27"/>
      <c r="G1240" s="27"/>
      <c r="H1240" s="27"/>
    </row>
    <row r="1241" spans="2:8" ht="15" x14ac:dyDescent="0.25">
      <c r="B1241" s="27"/>
      <c r="C1241" s="27"/>
      <c r="D1241" s="27"/>
      <c r="E1241" s="27"/>
      <c r="F1241" s="27"/>
      <c r="G1241" s="27"/>
      <c r="H1241" s="27"/>
    </row>
    <row r="1242" spans="2:8" ht="15" x14ac:dyDescent="0.25">
      <c r="B1242" s="27"/>
      <c r="C1242" s="27"/>
      <c r="D1242" s="27"/>
      <c r="E1242" s="27"/>
      <c r="F1242" s="27"/>
      <c r="G1242" s="27"/>
      <c r="H1242" s="27"/>
    </row>
    <row r="1243" spans="2:8" ht="15" x14ac:dyDescent="0.25">
      <c r="B1243" s="27"/>
      <c r="C1243" s="27"/>
      <c r="D1243" s="27"/>
      <c r="E1243" s="27"/>
      <c r="F1243" s="27"/>
      <c r="G1243" s="27"/>
      <c r="H1243" s="27"/>
    </row>
    <row r="1244" spans="2:8" ht="15" x14ac:dyDescent="0.25">
      <c r="B1244" s="27"/>
      <c r="C1244" s="27"/>
      <c r="D1244" s="27"/>
      <c r="E1244" s="27"/>
      <c r="F1244" s="27"/>
      <c r="G1244" s="27"/>
      <c r="H1244" s="27"/>
    </row>
    <row r="1245" spans="2:8" ht="15" x14ac:dyDescent="0.25">
      <c r="B1245" s="27"/>
      <c r="C1245" s="27"/>
      <c r="D1245" s="27"/>
      <c r="E1245" s="27"/>
      <c r="F1245" s="27"/>
      <c r="G1245" s="27"/>
      <c r="H1245" s="27"/>
    </row>
    <row r="1246" spans="2:8" ht="15" x14ac:dyDescent="0.25">
      <c r="B1246" s="27"/>
      <c r="C1246" s="27"/>
      <c r="D1246" s="27"/>
      <c r="E1246" s="27"/>
      <c r="F1246" s="27"/>
      <c r="G1246" s="27"/>
      <c r="H1246" s="27"/>
    </row>
    <row r="1247" spans="2:8" ht="15" x14ac:dyDescent="0.25">
      <c r="B1247" s="27"/>
      <c r="C1247" s="27"/>
      <c r="D1247" s="27"/>
      <c r="E1247" s="27"/>
      <c r="F1247" s="27"/>
      <c r="G1247" s="27"/>
      <c r="H1247" s="27"/>
    </row>
    <row r="1248" spans="2:8" ht="15" x14ac:dyDescent="0.25">
      <c r="B1248" s="27"/>
      <c r="C1248" s="27"/>
      <c r="D1248" s="27"/>
      <c r="E1248" s="27"/>
      <c r="F1248" s="27"/>
      <c r="G1248" s="27"/>
      <c r="H1248" s="27"/>
    </row>
    <row r="1249" spans="2:8" ht="15" x14ac:dyDescent="0.25">
      <c r="B1249" s="27"/>
      <c r="C1249" s="27"/>
      <c r="D1249" s="27"/>
      <c r="E1249" s="27"/>
      <c r="F1249" s="27"/>
      <c r="G1249" s="27"/>
      <c r="H1249" s="27"/>
    </row>
    <row r="1250" spans="2:8" ht="15" x14ac:dyDescent="0.25">
      <c r="B1250" s="27"/>
      <c r="C1250" s="27"/>
      <c r="D1250" s="27"/>
      <c r="E1250" s="27"/>
      <c r="F1250" s="27"/>
      <c r="G1250" s="27"/>
      <c r="H1250" s="27"/>
    </row>
    <row r="1251" spans="2:8" ht="15" x14ac:dyDescent="0.25">
      <c r="B1251" s="27"/>
      <c r="C1251" s="27"/>
      <c r="D1251" s="27"/>
      <c r="E1251" s="27"/>
      <c r="F1251" s="27"/>
      <c r="G1251" s="27"/>
      <c r="H1251" s="27"/>
    </row>
    <row r="1252" spans="2:8" ht="15" x14ac:dyDescent="0.25">
      <c r="B1252" s="27"/>
      <c r="C1252" s="27"/>
      <c r="D1252" s="27"/>
      <c r="E1252" s="27"/>
      <c r="F1252" s="27"/>
      <c r="G1252" s="27"/>
      <c r="H1252" s="27"/>
    </row>
    <row r="1253" spans="2:8" ht="15" x14ac:dyDescent="0.25">
      <c r="B1253" s="27"/>
      <c r="C1253" s="27"/>
      <c r="D1253" s="27"/>
      <c r="E1253" s="27"/>
      <c r="F1253" s="27"/>
      <c r="G1253" s="27"/>
      <c r="H1253" s="27"/>
    </row>
    <row r="1254" spans="2:8" ht="15" x14ac:dyDescent="0.25">
      <c r="B1254" s="27"/>
      <c r="C1254" s="27"/>
      <c r="D1254" s="27"/>
      <c r="E1254" s="27"/>
      <c r="F1254" s="27"/>
      <c r="G1254" s="27"/>
      <c r="H1254" s="27"/>
    </row>
    <row r="1255" spans="2:8" ht="15" x14ac:dyDescent="0.25">
      <c r="B1255" s="27"/>
      <c r="C1255" s="27"/>
      <c r="D1255" s="27"/>
      <c r="E1255" s="27"/>
      <c r="F1255" s="27"/>
      <c r="G1255" s="27"/>
      <c r="H1255" s="27"/>
    </row>
    <row r="1256" spans="2:8" ht="15" x14ac:dyDescent="0.25">
      <c r="B1256" s="27"/>
      <c r="C1256" s="27"/>
      <c r="D1256" s="27"/>
      <c r="E1256" s="27"/>
      <c r="F1256" s="27"/>
      <c r="G1256" s="27"/>
      <c r="H1256" s="27"/>
    </row>
    <row r="1257" spans="2:8" ht="15" x14ac:dyDescent="0.25">
      <c r="B1257" s="27"/>
      <c r="C1257" s="27"/>
      <c r="D1257" s="27"/>
      <c r="E1257" s="27"/>
      <c r="F1257" s="27"/>
      <c r="G1257" s="27"/>
      <c r="H1257" s="27"/>
    </row>
    <row r="1258" spans="2:8" ht="15" x14ac:dyDescent="0.25">
      <c r="B1258" s="27"/>
      <c r="C1258" s="27"/>
      <c r="D1258" s="27"/>
      <c r="E1258" s="27"/>
      <c r="F1258" s="27"/>
      <c r="G1258" s="27"/>
      <c r="H1258" s="27"/>
    </row>
    <row r="1259" spans="2:8" ht="15" x14ac:dyDescent="0.25">
      <c r="B1259" s="27"/>
      <c r="C1259" s="27"/>
      <c r="D1259" s="27"/>
      <c r="E1259" s="27"/>
      <c r="F1259" s="27"/>
      <c r="G1259" s="27"/>
      <c r="H1259" s="27"/>
    </row>
    <row r="1260" spans="2:8" ht="15" x14ac:dyDescent="0.25">
      <c r="B1260" s="27"/>
      <c r="C1260" s="27"/>
      <c r="D1260" s="27"/>
      <c r="E1260" s="27"/>
      <c r="F1260" s="27"/>
      <c r="G1260" s="27"/>
      <c r="H1260" s="27"/>
    </row>
    <row r="1261" spans="2:8" ht="15" x14ac:dyDescent="0.25">
      <c r="B1261" s="27"/>
      <c r="C1261" s="27"/>
      <c r="D1261" s="27"/>
      <c r="E1261" s="27"/>
      <c r="F1261" s="27"/>
      <c r="G1261" s="27"/>
      <c r="H1261" s="27"/>
    </row>
    <row r="1262" spans="2:8" ht="15" x14ac:dyDescent="0.25">
      <c r="B1262" s="27"/>
      <c r="C1262" s="27"/>
      <c r="D1262" s="27"/>
      <c r="E1262" s="27"/>
      <c r="F1262" s="27"/>
      <c r="G1262" s="27"/>
      <c r="H1262" s="27"/>
    </row>
    <row r="1263" spans="2:8" ht="15" x14ac:dyDescent="0.25">
      <c r="B1263" s="27"/>
      <c r="C1263" s="27"/>
      <c r="D1263" s="27"/>
      <c r="E1263" s="27"/>
      <c r="F1263" s="27"/>
      <c r="G1263" s="27"/>
      <c r="H1263" s="27"/>
    </row>
    <row r="1264" spans="2:8" ht="15" x14ac:dyDescent="0.25">
      <c r="B1264" s="27"/>
      <c r="C1264" s="27"/>
      <c r="D1264" s="27"/>
      <c r="E1264" s="27"/>
      <c r="F1264" s="27"/>
      <c r="G1264" s="27"/>
      <c r="H1264" s="27"/>
    </row>
    <row r="1265" spans="2:8" ht="15" x14ac:dyDescent="0.25">
      <c r="B1265" s="27"/>
      <c r="C1265" s="27"/>
      <c r="D1265" s="27"/>
      <c r="E1265" s="27"/>
      <c r="F1265" s="27"/>
      <c r="G1265" s="27"/>
      <c r="H1265" s="27"/>
    </row>
    <row r="1266" spans="2:8" ht="15" x14ac:dyDescent="0.25">
      <c r="B1266" s="27"/>
      <c r="C1266" s="27"/>
      <c r="D1266" s="27"/>
      <c r="E1266" s="27"/>
      <c r="F1266" s="27"/>
      <c r="G1266" s="27"/>
      <c r="H1266" s="27"/>
    </row>
    <row r="1267" spans="2:8" ht="15" x14ac:dyDescent="0.25">
      <c r="B1267" s="27"/>
      <c r="C1267" s="27"/>
      <c r="D1267" s="27"/>
      <c r="E1267" s="27"/>
      <c r="F1267" s="27"/>
      <c r="G1267" s="27"/>
      <c r="H1267" s="27"/>
    </row>
    <row r="1268" spans="2:8" ht="15" x14ac:dyDescent="0.25">
      <c r="B1268" s="27"/>
      <c r="C1268" s="27"/>
      <c r="D1268" s="27"/>
      <c r="E1268" s="27"/>
      <c r="F1268" s="27"/>
      <c r="G1268" s="27"/>
      <c r="H1268" s="27"/>
    </row>
    <row r="1269" spans="2:8" ht="15" x14ac:dyDescent="0.25">
      <c r="B1269" s="27"/>
      <c r="C1269" s="27"/>
      <c r="D1269" s="27"/>
      <c r="E1269" s="27"/>
      <c r="F1269" s="27"/>
      <c r="G1269" s="27"/>
      <c r="H1269" s="27"/>
    </row>
    <row r="1270" spans="2:8" ht="15" x14ac:dyDescent="0.25">
      <c r="B1270" s="27"/>
      <c r="C1270" s="27"/>
      <c r="D1270" s="27"/>
      <c r="E1270" s="27"/>
      <c r="F1270" s="27"/>
      <c r="G1270" s="27"/>
      <c r="H1270" s="27"/>
    </row>
    <row r="1271" spans="2:8" ht="15" x14ac:dyDescent="0.25">
      <c r="B1271" s="27"/>
      <c r="C1271" s="27"/>
      <c r="D1271" s="27"/>
      <c r="E1271" s="27"/>
      <c r="F1271" s="27"/>
      <c r="G1271" s="27"/>
      <c r="H1271" s="27"/>
    </row>
    <row r="1272" spans="2:8" ht="15" x14ac:dyDescent="0.25">
      <c r="B1272" s="27"/>
      <c r="C1272" s="27"/>
      <c r="D1272" s="27"/>
      <c r="E1272" s="27"/>
      <c r="F1272" s="27"/>
      <c r="G1272" s="27"/>
      <c r="H1272" s="27"/>
    </row>
    <row r="1273" spans="2:8" ht="15" x14ac:dyDescent="0.25">
      <c r="B1273" s="27"/>
      <c r="C1273" s="27"/>
      <c r="D1273" s="27"/>
      <c r="E1273" s="27"/>
      <c r="F1273" s="27"/>
      <c r="G1273" s="27"/>
      <c r="H1273" s="27"/>
    </row>
    <row r="1274" spans="2:8" ht="15" x14ac:dyDescent="0.25">
      <c r="B1274" s="27"/>
      <c r="C1274" s="27"/>
      <c r="D1274" s="27"/>
      <c r="E1274" s="27"/>
      <c r="F1274" s="27"/>
      <c r="G1274" s="27"/>
      <c r="H1274" s="27"/>
    </row>
    <row r="1275" spans="2:8" ht="15" x14ac:dyDescent="0.25">
      <c r="B1275" s="27"/>
      <c r="C1275" s="27"/>
      <c r="D1275" s="27"/>
      <c r="E1275" s="27"/>
      <c r="F1275" s="27"/>
      <c r="G1275" s="27"/>
      <c r="H1275" s="27"/>
    </row>
    <row r="1276" spans="2:8" ht="15" x14ac:dyDescent="0.25">
      <c r="B1276" s="27"/>
      <c r="C1276" s="27"/>
      <c r="D1276" s="27"/>
      <c r="E1276" s="27"/>
      <c r="F1276" s="27"/>
      <c r="G1276" s="27"/>
      <c r="H1276" s="27"/>
    </row>
    <row r="1277" spans="2:8" ht="15" x14ac:dyDescent="0.25">
      <c r="B1277" s="27"/>
      <c r="C1277" s="27"/>
      <c r="D1277" s="27"/>
      <c r="E1277" s="27"/>
      <c r="F1277" s="27"/>
      <c r="G1277" s="27"/>
      <c r="H1277" s="27"/>
    </row>
    <row r="1278" spans="2:8" ht="15" x14ac:dyDescent="0.25">
      <c r="B1278" s="27"/>
      <c r="C1278" s="27"/>
      <c r="D1278" s="27"/>
      <c r="E1278" s="27"/>
      <c r="F1278" s="27"/>
      <c r="G1278" s="27"/>
      <c r="H1278" s="27"/>
    </row>
    <row r="1279" spans="2:8" ht="15" x14ac:dyDescent="0.25">
      <c r="B1279" s="27"/>
      <c r="C1279" s="27"/>
      <c r="D1279" s="27"/>
      <c r="E1279" s="27"/>
      <c r="F1279" s="27"/>
      <c r="G1279" s="27"/>
      <c r="H1279" s="27"/>
    </row>
    <row r="1280" spans="2:8" ht="15" x14ac:dyDescent="0.25">
      <c r="B1280" s="27"/>
      <c r="C1280" s="27"/>
      <c r="D1280" s="27"/>
      <c r="E1280" s="27"/>
      <c r="F1280" s="27"/>
      <c r="G1280" s="27"/>
      <c r="H1280" s="27"/>
    </row>
    <row r="1281" spans="2:8" ht="15" x14ac:dyDescent="0.25">
      <c r="B1281" s="27"/>
      <c r="C1281" s="27"/>
      <c r="D1281" s="27"/>
      <c r="E1281" s="27"/>
      <c r="F1281" s="27"/>
      <c r="G1281" s="27"/>
      <c r="H1281" s="27"/>
    </row>
    <row r="1282" spans="2:8" ht="15" x14ac:dyDescent="0.25">
      <c r="B1282" s="27"/>
      <c r="C1282" s="27"/>
      <c r="D1282" s="27"/>
      <c r="E1282" s="27"/>
      <c r="F1282" s="27"/>
      <c r="G1282" s="27"/>
      <c r="H1282" s="27"/>
    </row>
    <row r="1283" spans="2:8" ht="15" x14ac:dyDescent="0.25">
      <c r="B1283" s="27"/>
      <c r="C1283" s="27"/>
      <c r="D1283" s="27"/>
      <c r="E1283" s="27"/>
      <c r="F1283" s="27"/>
      <c r="G1283" s="27"/>
      <c r="H1283" s="27"/>
    </row>
    <row r="1284" spans="2:8" ht="15" x14ac:dyDescent="0.25">
      <c r="B1284" s="27"/>
      <c r="C1284" s="27"/>
      <c r="D1284" s="27"/>
      <c r="E1284" s="27"/>
      <c r="F1284" s="27"/>
      <c r="G1284" s="27"/>
      <c r="H1284" s="27"/>
    </row>
    <row r="1285" spans="2:8" ht="15" x14ac:dyDescent="0.25">
      <c r="B1285" s="27"/>
      <c r="C1285" s="27"/>
      <c r="D1285" s="27"/>
      <c r="E1285" s="27"/>
      <c r="F1285" s="27"/>
      <c r="G1285" s="27"/>
      <c r="H1285" s="27"/>
    </row>
    <row r="1286" spans="2:8" ht="15" x14ac:dyDescent="0.25">
      <c r="B1286" s="27"/>
      <c r="C1286" s="27"/>
      <c r="D1286" s="27"/>
      <c r="E1286" s="27"/>
      <c r="F1286" s="27"/>
      <c r="G1286" s="27"/>
      <c r="H1286" s="27"/>
    </row>
    <row r="1287" spans="2:8" ht="15" x14ac:dyDescent="0.25">
      <c r="B1287" s="27"/>
      <c r="C1287" s="27"/>
      <c r="D1287" s="27"/>
      <c r="E1287" s="27"/>
      <c r="F1287" s="27"/>
      <c r="G1287" s="27"/>
      <c r="H1287" s="27"/>
    </row>
    <row r="1288" spans="2:8" ht="15" x14ac:dyDescent="0.25">
      <c r="B1288" s="27"/>
      <c r="C1288" s="27"/>
      <c r="D1288" s="27"/>
      <c r="E1288" s="27"/>
      <c r="F1288" s="27"/>
      <c r="G1288" s="27"/>
      <c r="H1288" s="27"/>
    </row>
    <row r="1289" spans="2:8" ht="15" x14ac:dyDescent="0.25">
      <c r="B1289" s="27"/>
      <c r="C1289" s="27"/>
      <c r="D1289" s="27"/>
      <c r="E1289" s="27"/>
      <c r="F1289" s="27"/>
      <c r="G1289" s="27"/>
      <c r="H1289" s="27"/>
    </row>
    <row r="1290" spans="2:8" ht="15" x14ac:dyDescent="0.25">
      <c r="B1290" s="27"/>
      <c r="C1290" s="27"/>
      <c r="D1290" s="27"/>
      <c r="E1290" s="27"/>
      <c r="F1290" s="27"/>
      <c r="G1290" s="27"/>
      <c r="H1290" s="27"/>
    </row>
    <row r="1291" spans="2:8" ht="15" x14ac:dyDescent="0.25">
      <c r="B1291" s="27"/>
      <c r="C1291" s="27"/>
      <c r="D1291" s="27"/>
      <c r="E1291" s="27"/>
      <c r="F1291" s="27"/>
      <c r="G1291" s="27"/>
      <c r="H1291" s="27"/>
    </row>
    <row r="1292" spans="2:8" ht="15" x14ac:dyDescent="0.25">
      <c r="B1292" s="27"/>
      <c r="C1292" s="27"/>
      <c r="D1292" s="27"/>
      <c r="E1292" s="27"/>
      <c r="F1292" s="27"/>
      <c r="G1292" s="27"/>
      <c r="H1292" s="27"/>
    </row>
    <row r="1293" spans="2:8" ht="15" x14ac:dyDescent="0.25">
      <c r="B1293" s="27"/>
      <c r="C1293" s="27"/>
      <c r="D1293" s="27"/>
      <c r="E1293" s="27"/>
      <c r="F1293" s="27"/>
      <c r="G1293" s="27"/>
      <c r="H1293" s="27"/>
    </row>
    <row r="1294" spans="2:8" ht="15" x14ac:dyDescent="0.25">
      <c r="B1294" s="27"/>
      <c r="C1294" s="27"/>
      <c r="D1294" s="27"/>
      <c r="E1294" s="27"/>
      <c r="F1294" s="27"/>
      <c r="G1294" s="27"/>
      <c r="H1294" s="27"/>
    </row>
    <row r="1295" spans="2:8" ht="15" x14ac:dyDescent="0.25">
      <c r="B1295" s="27"/>
      <c r="C1295" s="27"/>
      <c r="D1295" s="27"/>
      <c r="E1295" s="27"/>
      <c r="F1295" s="27"/>
      <c r="G1295" s="27"/>
      <c r="H1295" s="27"/>
    </row>
    <row r="1296" spans="2:8" ht="15" x14ac:dyDescent="0.25">
      <c r="B1296" s="27"/>
      <c r="C1296" s="27"/>
      <c r="D1296" s="27"/>
      <c r="E1296" s="27"/>
      <c r="F1296" s="27"/>
      <c r="G1296" s="27"/>
      <c r="H1296" s="27"/>
    </row>
    <row r="1297" spans="2:8" ht="15" x14ac:dyDescent="0.25">
      <c r="B1297" s="27"/>
      <c r="C1297" s="27"/>
      <c r="D1297" s="27"/>
      <c r="E1297" s="27"/>
      <c r="F1297" s="27"/>
      <c r="G1297" s="27"/>
      <c r="H1297" s="27"/>
    </row>
    <row r="1298" spans="2:8" ht="15" x14ac:dyDescent="0.25">
      <c r="B1298" s="27"/>
      <c r="C1298" s="27"/>
      <c r="D1298" s="27"/>
      <c r="E1298" s="27"/>
      <c r="F1298" s="27"/>
      <c r="G1298" s="27"/>
      <c r="H1298" s="27"/>
    </row>
    <row r="1299" spans="2:8" ht="15" x14ac:dyDescent="0.25">
      <c r="B1299" s="27"/>
      <c r="C1299" s="27"/>
      <c r="D1299" s="27"/>
      <c r="E1299" s="27"/>
      <c r="F1299" s="27"/>
      <c r="G1299" s="27"/>
      <c r="H1299" s="27"/>
    </row>
    <row r="1300" spans="2:8" ht="15" x14ac:dyDescent="0.25">
      <c r="B1300" s="27"/>
      <c r="C1300" s="27"/>
      <c r="D1300" s="27"/>
      <c r="E1300" s="27"/>
      <c r="F1300" s="27"/>
      <c r="G1300" s="27"/>
      <c r="H1300" s="27"/>
    </row>
    <row r="1301" spans="2:8" ht="15" x14ac:dyDescent="0.25">
      <c r="B1301" s="27"/>
      <c r="C1301" s="27"/>
      <c r="D1301" s="27"/>
      <c r="E1301" s="27"/>
      <c r="F1301" s="27"/>
      <c r="G1301" s="27"/>
      <c r="H1301" s="27"/>
    </row>
    <row r="1302" spans="2:8" ht="15" x14ac:dyDescent="0.25">
      <c r="B1302" s="27"/>
      <c r="C1302" s="27"/>
      <c r="D1302" s="27"/>
      <c r="E1302" s="27"/>
      <c r="F1302" s="27"/>
      <c r="G1302" s="27"/>
      <c r="H1302" s="27"/>
    </row>
    <row r="1303" spans="2:8" ht="15" x14ac:dyDescent="0.25">
      <c r="B1303" s="27"/>
      <c r="C1303" s="27"/>
      <c r="D1303" s="27"/>
      <c r="E1303" s="27"/>
      <c r="F1303" s="27"/>
      <c r="G1303" s="27"/>
      <c r="H1303" s="27"/>
    </row>
    <row r="1304" spans="2:8" ht="15" x14ac:dyDescent="0.25">
      <c r="B1304" s="27"/>
      <c r="C1304" s="27"/>
      <c r="D1304" s="27"/>
      <c r="E1304" s="27"/>
      <c r="F1304" s="27"/>
      <c r="G1304" s="27"/>
      <c r="H1304" s="27"/>
    </row>
    <row r="1305" spans="2:8" ht="15" x14ac:dyDescent="0.25">
      <c r="B1305" s="27"/>
      <c r="C1305" s="27"/>
      <c r="D1305" s="27"/>
      <c r="E1305" s="27"/>
      <c r="F1305" s="27"/>
      <c r="G1305" s="27"/>
      <c r="H1305" s="27"/>
    </row>
    <row r="1306" spans="2:8" ht="15" x14ac:dyDescent="0.25">
      <c r="B1306" s="27"/>
      <c r="C1306" s="27"/>
      <c r="D1306" s="27"/>
      <c r="E1306" s="27"/>
      <c r="F1306" s="27"/>
      <c r="G1306" s="27"/>
      <c r="H1306" s="27"/>
    </row>
    <row r="1307" spans="2:8" ht="15" x14ac:dyDescent="0.25">
      <c r="B1307" s="27"/>
      <c r="C1307" s="27"/>
      <c r="D1307" s="27"/>
      <c r="E1307" s="27"/>
      <c r="F1307" s="27"/>
      <c r="G1307" s="27"/>
      <c r="H1307" s="27"/>
    </row>
    <row r="1308" spans="2:8" ht="15" x14ac:dyDescent="0.25">
      <c r="B1308" s="27"/>
      <c r="C1308" s="27"/>
      <c r="D1308" s="27"/>
      <c r="E1308" s="27"/>
      <c r="F1308" s="27"/>
      <c r="G1308" s="27"/>
      <c r="H1308" s="27"/>
    </row>
    <row r="1309" spans="2:8" ht="15" x14ac:dyDescent="0.25">
      <c r="B1309" s="27"/>
      <c r="C1309" s="27"/>
      <c r="D1309" s="27"/>
      <c r="E1309" s="27"/>
      <c r="F1309" s="27"/>
      <c r="G1309" s="27"/>
      <c r="H1309" s="27"/>
    </row>
    <row r="1310" spans="2:8" ht="15" x14ac:dyDescent="0.25">
      <c r="B1310" s="27"/>
      <c r="C1310" s="27"/>
      <c r="D1310" s="27"/>
      <c r="E1310" s="27"/>
      <c r="F1310" s="27"/>
      <c r="G1310" s="27"/>
      <c r="H1310" s="27"/>
    </row>
    <row r="1311" spans="2:8" ht="15" x14ac:dyDescent="0.25">
      <c r="B1311" s="27"/>
      <c r="C1311" s="27"/>
      <c r="D1311" s="27"/>
      <c r="E1311" s="27"/>
      <c r="F1311" s="27"/>
      <c r="G1311" s="27"/>
      <c r="H1311" s="27"/>
    </row>
    <row r="1312" spans="2:8" ht="15" x14ac:dyDescent="0.25">
      <c r="B1312" s="27"/>
      <c r="C1312" s="27"/>
      <c r="D1312" s="27"/>
      <c r="E1312" s="27"/>
      <c r="F1312" s="27"/>
      <c r="G1312" s="27"/>
      <c r="H1312" s="27"/>
    </row>
    <row r="1313" spans="2:8" ht="15" x14ac:dyDescent="0.25">
      <c r="B1313" s="27"/>
      <c r="C1313" s="27"/>
      <c r="D1313" s="27"/>
      <c r="E1313" s="27"/>
      <c r="F1313" s="27"/>
      <c r="G1313" s="27"/>
      <c r="H1313" s="27"/>
    </row>
    <row r="1314" spans="2:8" ht="15" x14ac:dyDescent="0.25">
      <c r="B1314" s="27"/>
      <c r="C1314" s="27"/>
      <c r="D1314" s="27"/>
      <c r="E1314" s="27"/>
      <c r="F1314" s="27"/>
      <c r="G1314" s="27"/>
      <c r="H1314" s="27"/>
    </row>
    <row r="1315" spans="2:8" ht="15" x14ac:dyDescent="0.25">
      <c r="B1315" s="27"/>
      <c r="C1315" s="27"/>
      <c r="D1315" s="27"/>
      <c r="E1315" s="27"/>
      <c r="F1315" s="27"/>
      <c r="G1315" s="27"/>
      <c r="H1315" s="27"/>
    </row>
    <row r="1316" spans="2:8" ht="15" x14ac:dyDescent="0.25">
      <c r="B1316" s="27"/>
      <c r="C1316" s="27"/>
      <c r="D1316" s="27"/>
      <c r="E1316" s="27"/>
      <c r="F1316" s="27"/>
      <c r="G1316" s="27"/>
      <c r="H1316" s="27"/>
    </row>
    <row r="1317" spans="2:8" ht="15" x14ac:dyDescent="0.25">
      <c r="B1317" s="27"/>
      <c r="C1317" s="27"/>
      <c r="D1317" s="27"/>
      <c r="E1317" s="27"/>
      <c r="F1317" s="27"/>
      <c r="G1317" s="27"/>
      <c r="H1317" s="27"/>
    </row>
    <row r="1318" spans="2:8" ht="15" x14ac:dyDescent="0.25">
      <c r="B1318" s="27"/>
      <c r="C1318" s="27"/>
      <c r="D1318" s="27"/>
      <c r="E1318" s="27"/>
      <c r="F1318" s="27"/>
      <c r="G1318" s="27"/>
      <c r="H1318" s="27"/>
    </row>
    <row r="1319" spans="2:8" ht="15" x14ac:dyDescent="0.25">
      <c r="B1319" s="27"/>
      <c r="C1319" s="27"/>
      <c r="D1319" s="27"/>
      <c r="E1319" s="27"/>
      <c r="F1319" s="27"/>
      <c r="G1319" s="27"/>
      <c r="H1319" s="27"/>
    </row>
    <row r="1320" spans="2:8" ht="15" x14ac:dyDescent="0.25">
      <c r="B1320" s="27"/>
      <c r="C1320" s="27"/>
      <c r="D1320" s="27"/>
      <c r="E1320" s="27"/>
      <c r="F1320" s="27"/>
      <c r="G1320" s="27"/>
      <c r="H1320" s="27"/>
    </row>
    <row r="1321" spans="2:8" ht="15" x14ac:dyDescent="0.25">
      <c r="B1321" s="27"/>
      <c r="C1321" s="27"/>
      <c r="D1321" s="27"/>
      <c r="E1321" s="27"/>
      <c r="F1321" s="27"/>
      <c r="G1321" s="27"/>
      <c r="H1321" s="27"/>
    </row>
    <row r="1322" spans="2:8" ht="15" x14ac:dyDescent="0.25">
      <c r="B1322" s="27"/>
      <c r="C1322" s="27"/>
      <c r="D1322" s="27"/>
      <c r="E1322" s="27"/>
      <c r="F1322" s="27"/>
      <c r="G1322" s="27"/>
      <c r="H1322" s="27"/>
    </row>
    <row r="1323" spans="2:8" ht="15" x14ac:dyDescent="0.25">
      <c r="B1323" s="27"/>
      <c r="C1323" s="27"/>
      <c r="D1323" s="27"/>
      <c r="E1323" s="27"/>
      <c r="F1323" s="27"/>
      <c r="G1323" s="27"/>
      <c r="H1323" s="27"/>
    </row>
    <row r="1324" spans="2:8" ht="15" x14ac:dyDescent="0.25">
      <c r="B1324" s="27"/>
      <c r="C1324" s="27"/>
      <c r="D1324" s="27"/>
      <c r="E1324" s="27"/>
      <c r="F1324" s="27"/>
      <c r="G1324" s="27"/>
      <c r="H1324" s="27"/>
    </row>
    <row r="1325" spans="2:8" ht="15" x14ac:dyDescent="0.25">
      <c r="B1325" s="27"/>
      <c r="C1325" s="27"/>
      <c r="D1325" s="27"/>
      <c r="E1325" s="27"/>
      <c r="F1325" s="27"/>
      <c r="G1325" s="27"/>
      <c r="H1325" s="27"/>
    </row>
    <row r="1326" spans="2:8" ht="15" x14ac:dyDescent="0.25">
      <c r="B1326" s="27"/>
      <c r="C1326" s="27"/>
      <c r="D1326" s="27"/>
      <c r="E1326" s="27"/>
      <c r="F1326" s="27"/>
      <c r="G1326" s="27"/>
      <c r="H1326" s="27"/>
    </row>
    <row r="1327" spans="2:8" ht="15" x14ac:dyDescent="0.25">
      <c r="B1327" s="27"/>
      <c r="C1327" s="27"/>
      <c r="D1327" s="27"/>
      <c r="E1327" s="27"/>
      <c r="F1327" s="27"/>
      <c r="G1327" s="27"/>
      <c r="H1327" s="27"/>
    </row>
    <row r="1328" spans="2:8" ht="15" x14ac:dyDescent="0.25">
      <c r="B1328" s="27"/>
      <c r="C1328" s="27"/>
      <c r="D1328" s="27"/>
      <c r="E1328" s="27"/>
      <c r="F1328" s="27"/>
      <c r="G1328" s="27"/>
      <c r="H1328" s="27"/>
    </row>
    <row r="1329" spans="2:8" ht="15" x14ac:dyDescent="0.25">
      <c r="B1329" s="27"/>
      <c r="C1329" s="27"/>
      <c r="D1329" s="27"/>
      <c r="E1329" s="27"/>
      <c r="F1329" s="27"/>
      <c r="G1329" s="27"/>
      <c r="H1329" s="27"/>
    </row>
    <row r="1330" spans="2:8" ht="15" x14ac:dyDescent="0.25">
      <c r="B1330" s="27"/>
      <c r="C1330" s="27"/>
      <c r="D1330" s="27"/>
      <c r="E1330" s="27"/>
      <c r="F1330" s="27"/>
      <c r="G1330" s="27"/>
      <c r="H1330" s="27"/>
    </row>
    <row r="1331" spans="2:8" ht="15" x14ac:dyDescent="0.25">
      <c r="B1331" s="27"/>
      <c r="C1331" s="27"/>
      <c r="D1331" s="27"/>
      <c r="E1331" s="27"/>
      <c r="F1331" s="27"/>
      <c r="G1331" s="27"/>
      <c r="H1331" s="27"/>
    </row>
    <row r="1332" spans="2:8" ht="15" x14ac:dyDescent="0.25">
      <c r="B1332" s="27"/>
      <c r="C1332" s="27"/>
      <c r="D1332" s="27"/>
      <c r="E1332" s="27"/>
      <c r="F1332" s="27"/>
      <c r="G1332" s="27"/>
      <c r="H1332" s="27"/>
    </row>
    <row r="1333" spans="2:8" ht="15" x14ac:dyDescent="0.25">
      <c r="B1333" s="27"/>
      <c r="C1333" s="27"/>
      <c r="D1333" s="27"/>
      <c r="E1333" s="27"/>
      <c r="F1333" s="27"/>
      <c r="G1333" s="27"/>
      <c r="H1333" s="27"/>
    </row>
    <row r="1334" spans="2:8" ht="15" x14ac:dyDescent="0.25">
      <c r="B1334" s="27"/>
      <c r="C1334" s="27"/>
      <c r="D1334" s="27"/>
      <c r="E1334" s="27"/>
      <c r="F1334" s="27"/>
      <c r="G1334" s="27"/>
      <c r="H1334" s="27"/>
    </row>
    <row r="1335" spans="2:8" ht="15" x14ac:dyDescent="0.25">
      <c r="B1335" s="27"/>
      <c r="C1335" s="27"/>
      <c r="D1335" s="27"/>
      <c r="E1335" s="27"/>
      <c r="F1335" s="27"/>
      <c r="G1335" s="27"/>
      <c r="H1335" s="27"/>
    </row>
    <row r="1336" spans="2:8" ht="15" x14ac:dyDescent="0.25">
      <c r="B1336" s="27"/>
      <c r="C1336" s="27"/>
      <c r="D1336" s="27"/>
      <c r="E1336" s="27"/>
      <c r="F1336" s="27"/>
      <c r="G1336" s="27"/>
      <c r="H1336" s="27"/>
    </row>
    <row r="1337" spans="2:8" ht="15" x14ac:dyDescent="0.25">
      <c r="B1337" s="27"/>
      <c r="C1337" s="27"/>
      <c r="D1337" s="27"/>
      <c r="E1337" s="27"/>
      <c r="F1337" s="27"/>
      <c r="G1337" s="27"/>
      <c r="H1337" s="27"/>
    </row>
    <row r="1338" spans="2:8" ht="15" x14ac:dyDescent="0.25">
      <c r="B1338" s="27"/>
      <c r="C1338" s="27"/>
      <c r="D1338" s="27"/>
      <c r="E1338" s="27"/>
      <c r="F1338" s="27"/>
      <c r="G1338" s="27"/>
      <c r="H1338" s="27"/>
    </row>
    <row r="1339" spans="2:8" ht="15" x14ac:dyDescent="0.25">
      <c r="B1339" s="27"/>
      <c r="C1339" s="27"/>
      <c r="D1339" s="27"/>
      <c r="E1339" s="27"/>
      <c r="F1339" s="27"/>
      <c r="G1339" s="27"/>
      <c r="H1339" s="27"/>
    </row>
    <row r="1340" spans="2:8" ht="15" x14ac:dyDescent="0.25">
      <c r="B1340" s="27"/>
      <c r="C1340" s="27"/>
      <c r="D1340" s="27"/>
      <c r="E1340" s="27"/>
      <c r="F1340" s="27"/>
      <c r="G1340" s="27"/>
      <c r="H1340" s="27"/>
    </row>
    <row r="1341" spans="2:8" ht="15" x14ac:dyDescent="0.25">
      <c r="B1341" s="27"/>
      <c r="C1341" s="27"/>
      <c r="D1341" s="27"/>
      <c r="E1341" s="27"/>
      <c r="F1341" s="27"/>
      <c r="G1341" s="27"/>
      <c r="H1341" s="27"/>
    </row>
    <row r="1342" spans="2:8" ht="15" x14ac:dyDescent="0.25">
      <c r="B1342" s="27"/>
      <c r="C1342" s="27"/>
      <c r="D1342" s="27"/>
      <c r="E1342" s="27"/>
      <c r="F1342" s="27"/>
      <c r="G1342" s="27"/>
      <c r="H1342" s="27"/>
    </row>
    <row r="1343" spans="2:8" ht="15" x14ac:dyDescent="0.25">
      <c r="B1343" s="27"/>
      <c r="C1343" s="27"/>
      <c r="D1343" s="27"/>
      <c r="E1343" s="27"/>
      <c r="F1343" s="27"/>
      <c r="G1343" s="27"/>
      <c r="H1343" s="27"/>
    </row>
    <row r="1344" spans="2:8" ht="15" x14ac:dyDescent="0.25">
      <c r="B1344" s="27"/>
      <c r="C1344" s="27"/>
      <c r="D1344" s="27"/>
      <c r="E1344" s="27"/>
      <c r="F1344" s="27"/>
      <c r="G1344" s="27"/>
      <c r="H1344" s="27"/>
    </row>
    <row r="1345" spans="2:8" ht="15" x14ac:dyDescent="0.25">
      <c r="B1345" s="27"/>
      <c r="C1345" s="27"/>
      <c r="D1345" s="27"/>
      <c r="E1345" s="27"/>
      <c r="F1345" s="27"/>
      <c r="G1345" s="27"/>
      <c r="H1345" s="27"/>
    </row>
    <row r="1346" spans="2:8" ht="15" x14ac:dyDescent="0.25">
      <c r="B1346" s="27"/>
      <c r="C1346" s="27"/>
      <c r="D1346" s="27"/>
      <c r="E1346" s="27"/>
      <c r="F1346" s="27"/>
      <c r="G1346" s="27"/>
      <c r="H1346" s="27"/>
    </row>
    <row r="1347" spans="2:8" ht="15" x14ac:dyDescent="0.25">
      <c r="B1347" s="27"/>
      <c r="C1347" s="27"/>
      <c r="D1347" s="27"/>
      <c r="E1347" s="27"/>
      <c r="F1347" s="27"/>
      <c r="G1347" s="27"/>
      <c r="H1347" s="27"/>
    </row>
    <row r="1348" spans="2:8" ht="15" x14ac:dyDescent="0.25">
      <c r="B1348" s="27"/>
      <c r="C1348" s="27"/>
      <c r="D1348" s="27"/>
      <c r="E1348" s="27"/>
      <c r="F1348" s="27"/>
      <c r="G1348" s="27"/>
      <c r="H1348" s="27"/>
    </row>
    <row r="1349" spans="2:8" ht="15" x14ac:dyDescent="0.25">
      <c r="B1349" s="27"/>
      <c r="C1349" s="27"/>
      <c r="D1349" s="27"/>
      <c r="E1349" s="27"/>
      <c r="F1349" s="27"/>
      <c r="G1349" s="27"/>
      <c r="H1349" s="27"/>
    </row>
    <row r="1350" spans="2:8" ht="15" x14ac:dyDescent="0.25">
      <c r="B1350" s="27"/>
      <c r="C1350" s="27"/>
      <c r="D1350" s="27"/>
      <c r="E1350" s="27"/>
      <c r="F1350" s="27"/>
      <c r="G1350" s="27"/>
      <c r="H1350" s="27"/>
    </row>
    <row r="1351" spans="2:8" ht="15" x14ac:dyDescent="0.25">
      <c r="B1351" s="27"/>
      <c r="C1351" s="27"/>
      <c r="D1351" s="27"/>
      <c r="E1351" s="27"/>
      <c r="F1351" s="27"/>
      <c r="G1351" s="27"/>
      <c r="H1351" s="27"/>
    </row>
    <row r="1352" spans="2:8" ht="15" x14ac:dyDescent="0.25">
      <c r="B1352" s="27"/>
      <c r="C1352" s="27"/>
      <c r="D1352" s="27"/>
      <c r="E1352" s="27"/>
      <c r="F1352" s="27"/>
      <c r="G1352" s="27"/>
      <c r="H1352" s="27"/>
    </row>
    <row r="1353" spans="2:8" ht="15" x14ac:dyDescent="0.25">
      <c r="B1353" s="27"/>
      <c r="C1353" s="27"/>
      <c r="D1353" s="27"/>
      <c r="E1353" s="27"/>
      <c r="F1353" s="27"/>
      <c r="G1353" s="27"/>
      <c r="H1353" s="27"/>
    </row>
    <row r="1354" spans="2:8" ht="15" x14ac:dyDescent="0.25">
      <c r="B1354" s="27"/>
      <c r="C1354" s="27"/>
      <c r="D1354" s="27"/>
      <c r="E1354" s="27"/>
      <c r="F1354" s="27"/>
      <c r="G1354" s="27"/>
      <c r="H1354" s="27"/>
    </row>
    <row r="1355" spans="2:8" ht="15" x14ac:dyDescent="0.25">
      <c r="B1355" s="27"/>
      <c r="C1355" s="27"/>
      <c r="D1355" s="27"/>
      <c r="E1355" s="27"/>
      <c r="F1355" s="27"/>
      <c r="G1355" s="27"/>
      <c r="H1355" s="27"/>
    </row>
    <row r="1356" spans="2:8" ht="15" x14ac:dyDescent="0.25">
      <c r="B1356" s="27"/>
      <c r="C1356" s="27"/>
      <c r="D1356" s="27"/>
      <c r="E1356" s="27"/>
      <c r="F1356" s="27"/>
      <c r="G1356" s="27"/>
      <c r="H1356" s="27"/>
    </row>
    <row r="1357" spans="2:8" ht="15" x14ac:dyDescent="0.25">
      <c r="B1357" s="27"/>
      <c r="C1357" s="27"/>
      <c r="D1357" s="27"/>
      <c r="E1357" s="27"/>
      <c r="F1357" s="27"/>
      <c r="G1357" s="27"/>
      <c r="H1357" s="27"/>
    </row>
    <row r="1358" spans="2:8" ht="15" x14ac:dyDescent="0.25">
      <c r="B1358" s="27"/>
      <c r="C1358" s="27"/>
      <c r="D1358" s="27"/>
      <c r="E1358" s="27"/>
      <c r="F1358" s="27"/>
      <c r="G1358" s="27"/>
      <c r="H1358" s="27"/>
    </row>
    <row r="1359" spans="2:8" ht="15" x14ac:dyDescent="0.25">
      <c r="B1359" s="27"/>
      <c r="C1359" s="27"/>
      <c r="D1359" s="27"/>
      <c r="E1359" s="27"/>
      <c r="F1359" s="27"/>
      <c r="G1359" s="27"/>
      <c r="H1359" s="27"/>
    </row>
    <row r="1360" spans="2:8" ht="15" x14ac:dyDescent="0.25">
      <c r="B1360" s="27"/>
      <c r="C1360" s="27"/>
      <c r="D1360" s="27"/>
      <c r="E1360" s="27"/>
      <c r="F1360" s="27"/>
      <c r="G1360" s="27"/>
      <c r="H1360" s="27"/>
    </row>
    <row r="1361" spans="2:8" ht="15" x14ac:dyDescent="0.25">
      <c r="B1361" s="27"/>
      <c r="C1361" s="27"/>
      <c r="D1361" s="27"/>
      <c r="E1361" s="27"/>
      <c r="F1361" s="27"/>
      <c r="G1361" s="27"/>
      <c r="H1361" s="27"/>
    </row>
    <row r="1362" spans="2:8" ht="15" x14ac:dyDescent="0.25">
      <c r="B1362" s="27"/>
      <c r="C1362" s="27"/>
      <c r="D1362" s="27"/>
      <c r="E1362" s="27"/>
      <c r="F1362" s="27"/>
      <c r="G1362" s="27"/>
      <c r="H1362" s="27"/>
    </row>
    <row r="1363" spans="2:8" ht="15" x14ac:dyDescent="0.25">
      <c r="B1363" s="27"/>
      <c r="C1363" s="27"/>
      <c r="D1363" s="27"/>
      <c r="E1363" s="27"/>
      <c r="F1363" s="27"/>
      <c r="G1363" s="27"/>
      <c r="H1363" s="27"/>
    </row>
    <row r="1364" spans="2:8" ht="15" x14ac:dyDescent="0.25">
      <c r="B1364" s="27"/>
      <c r="C1364" s="27"/>
      <c r="D1364" s="27"/>
      <c r="E1364" s="27"/>
      <c r="F1364" s="27"/>
      <c r="G1364" s="27"/>
      <c r="H1364" s="27"/>
    </row>
    <row r="1365" spans="2:8" ht="15" x14ac:dyDescent="0.25">
      <c r="B1365" s="27"/>
      <c r="C1365" s="27"/>
      <c r="D1365" s="27"/>
      <c r="E1365" s="27"/>
      <c r="F1365" s="27"/>
      <c r="G1365" s="27"/>
      <c r="H1365" s="27"/>
    </row>
    <row r="1366" spans="2:8" ht="15" x14ac:dyDescent="0.25">
      <c r="B1366" s="27"/>
      <c r="C1366" s="27"/>
      <c r="D1366" s="27"/>
      <c r="E1366" s="27"/>
      <c r="F1366" s="27"/>
      <c r="G1366" s="27"/>
      <c r="H1366" s="27"/>
    </row>
    <row r="1367" spans="2:8" ht="15" x14ac:dyDescent="0.25">
      <c r="B1367" s="27"/>
      <c r="C1367" s="27"/>
      <c r="D1367" s="27"/>
      <c r="E1367" s="27"/>
      <c r="F1367" s="27"/>
      <c r="G1367" s="27"/>
      <c r="H1367" s="27"/>
    </row>
    <row r="1368" spans="2:8" ht="15" x14ac:dyDescent="0.25">
      <c r="B1368" s="27"/>
      <c r="C1368" s="27"/>
      <c r="D1368" s="27"/>
      <c r="E1368" s="27"/>
      <c r="F1368" s="27"/>
      <c r="G1368" s="27"/>
      <c r="H1368" s="27"/>
    </row>
    <row r="1369" spans="2:8" ht="15" x14ac:dyDescent="0.25">
      <c r="B1369" s="27"/>
      <c r="C1369" s="27"/>
      <c r="D1369" s="27"/>
      <c r="E1369" s="27"/>
      <c r="F1369" s="27"/>
      <c r="G1369" s="27"/>
      <c r="H1369" s="27"/>
    </row>
    <row r="1370" spans="2:8" ht="15" x14ac:dyDescent="0.25">
      <c r="B1370" s="27"/>
      <c r="C1370" s="27"/>
      <c r="D1370" s="27"/>
      <c r="E1370" s="27"/>
      <c r="F1370" s="27"/>
      <c r="G1370" s="27"/>
      <c r="H1370" s="27"/>
    </row>
    <row r="1371" spans="2:8" ht="15" x14ac:dyDescent="0.25">
      <c r="B1371" s="27"/>
      <c r="C1371" s="27"/>
      <c r="D1371" s="27"/>
      <c r="E1371" s="27"/>
      <c r="F1371" s="27"/>
      <c r="G1371" s="27"/>
      <c r="H1371" s="27"/>
    </row>
    <row r="1372" spans="2:8" ht="15" x14ac:dyDescent="0.25">
      <c r="B1372" s="27"/>
      <c r="C1372" s="27"/>
      <c r="D1372" s="27"/>
      <c r="E1372" s="27"/>
      <c r="F1372" s="27"/>
      <c r="G1372" s="27"/>
      <c r="H1372" s="27"/>
    </row>
    <row r="1373" spans="2:8" ht="15" x14ac:dyDescent="0.25">
      <c r="B1373" s="27"/>
      <c r="C1373" s="27"/>
      <c r="D1373" s="27"/>
      <c r="E1373" s="27"/>
      <c r="F1373" s="27"/>
      <c r="G1373" s="27"/>
      <c r="H1373" s="27"/>
    </row>
    <row r="1374" spans="2:8" ht="15" x14ac:dyDescent="0.25">
      <c r="B1374" s="27"/>
      <c r="C1374" s="27"/>
      <c r="D1374" s="27"/>
      <c r="E1374" s="27"/>
      <c r="F1374" s="27"/>
      <c r="G1374" s="27"/>
      <c r="H1374" s="27"/>
    </row>
    <row r="1375" spans="2:8" ht="15" x14ac:dyDescent="0.25">
      <c r="B1375" s="27"/>
      <c r="C1375" s="27"/>
      <c r="D1375" s="27"/>
      <c r="E1375" s="27"/>
      <c r="F1375" s="27"/>
      <c r="G1375" s="27"/>
      <c r="H1375" s="27"/>
    </row>
    <row r="1376" spans="2:8" ht="15" x14ac:dyDescent="0.25">
      <c r="B1376" s="27"/>
      <c r="C1376" s="27"/>
      <c r="D1376" s="27"/>
      <c r="E1376" s="27"/>
      <c r="F1376" s="27"/>
      <c r="G1376" s="27"/>
      <c r="H1376" s="27"/>
    </row>
    <row r="1377" spans="2:8" ht="15" x14ac:dyDescent="0.25">
      <c r="B1377" s="27"/>
      <c r="C1377" s="27"/>
      <c r="D1377" s="27"/>
      <c r="E1377" s="27"/>
      <c r="F1377" s="27"/>
      <c r="G1377" s="27"/>
      <c r="H1377" s="27"/>
    </row>
    <row r="1378" spans="2:8" ht="15" x14ac:dyDescent="0.25">
      <c r="B1378" s="27"/>
      <c r="C1378" s="27"/>
      <c r="D1378" s="27"/>
      <c r="E1378" s="27"/>
      <c r="F1378" s="27"/>
      <c r="G1378" s="27"/>
      <c r="H1378" s="27"/>
    </row>
    <row r="1379" spans="2:8" ht="15" x14ac:dyDescent="0.25">
      <c r="B1379" s="27"/>
      <c r="C1379" s="27"/>
      <c r="D1379" s="27"/>
      <c r="E1379" s="27"/>
      <c r="F1379" s="27"/>
      <c r="G1379" s="27"/>
      <c r="H1379" s="27"/>
    </row>
    <row r="1380" spans="2:8" ht="15" x14ac:dyDescent="0.25">
      <c r="B1380" s="27"/>
      <c r="C1380" s="27"/>
      <c r="D1380" s="27"/>
      <c r="E1380" s="27"/>
      <c r="F1380" s="27"/>
      <c r="G1380" s="27"/>
      <c r="H1380" s="27"/>
    </row>
    <row r="1381" spans="2:8" ht="15" x14ac:dyDescent="0.25">
      <c r="B1381" s="27"/>
      <c r="C1381" s="27"/>
      <c r="D1381" s="27"/>
      <c r="E1381" s="27"/>
      <c r="F1381" s="27"/>
      <c r="G1381" s="27"/>
      <c r="H1381" s="27"/>
    </row>
    <row r="1382" spans="2:8" ht="15" x14ac:dyDescent="0.25">
      <c r="B1382" s="27"/>
      <c r="C1382" s="27"/>
      <c r="D1382" s="27"/>
      <c r="E1382" s="27"/>
      <c r="F1382" s="27"/>
      <c r="G1382" s="27"/>
      <c r="H1382" s="27"/>
    </row>
    <row r="1383" spans="2:8" ht="15" x14ac:dyDescent="0.25">
      <c r="B1383" s="27"/>
      <c r="C1383" s="27"/>
      <c r="D1383" s="27"/>
      <c r="E1383" s="27"/>
      <c r="F1383" s="27"/>
      <c r="G1383" s="27"/>
      <c r="H1383" s="27"/>
    </row>
    <row r="1384" spans="2:8" ht="15" x14ac:dyDescent="0.25">
      <c r="B1384" s="27"/>
      <c r="C1384" s="27"/>
      <c r="D1384" s="27"/>
      <c r="E1384" s="27"/>
      <c r="F1384" s="27"/>
      <c r="G1384" s="27"/>
      <c r="H1384" s="27"/>
    </row>
    <row r="1385" spans="2:8" ht="15" x14ac:dyDescent="0.25">
      <c r="B1385" s="27"/>
      <c r="C1385" s="27"/>
      <c r="D1385" s="27"/>
      <c r="E1385" s="27"/>
      <c r="F1385" s="27"/>
      <c r="G1385" s="27"/>
      <c r="H1385" s="27"/>
    </row>
    <row r="1386" spans="2:8" ht="15" x14ac:dyDescent="0.25">
      <c r="B1386" s="27"/>
      <c r="C1386" s="27"/>
      <c r="D1386" s="27"/>
      <c r="E1386" s="27"/>
      <c r="F1386" s="27"/>
      <c r="G1386" s="27"/>
      <c r="H1386" s="27"/>
    </row>
    <row r="1387" spans="2:8" ht="15" x14ac:dyDescent="0.25">
      <c r="B1387" s="27"/>
      <c r="C1387" s="27"/>
      <c r="D1387" s="27"/>
      <c r="E1387" s="27"/>
      <c r="F1387" s="27"/>
      <c r="G1387" s="27"/>
      <c r="H1387" s="27"/>
    </row>
    <row r="1388" spans="2:8" ht="15" x14ac:dyDescent="0.25">
      <c r="B1388" s="27"/>
      <c r="C1388" s="27"/>
      <c r="D1388" s="27"/>
      <c r="E1388" s="27"/>
      <c r="F1388" s="27"/>
      <c r="G1388" s="27"/>
      <c r="H1388" s="27"/>
    </row>
    <row r="1389" spans="2:8" ht="15" x14ac:dyDescent="0.25">
      <c r="B1389" s="27"/>
      <c r="C1389" s="27"/>
      <c r="D1389" s="27"/>
      <c r="E1389" s="27"/>
      <c r="F1389" s="27"/>
      <c r="G1389" s="27"/>
      <c r="H1389" s="27"/>
    </row>
    <row r="1390" spans="2:8" ht="15" x14ac:dyDescent="0.25">
      <c r="B1390" s="27"/>
      <c r="C1390" s="27"/>
      <c r="D1390" s="27"/>
      <c r="E1390" s="27"/>
      <c r="F1390" s="27"/>
      <c r="G1390" s="27"/>
      <c r="H1390" s="27"/>
    </row>
    <row r="1391" spans="2:8" ht="15" x14ac:dyDescent="0.25">
      <c r="B1391" s="27"/>
      <c r="C1391" s="27"/>
      <c r="D1391" s="27"/>
      <c r="E1391" s="27"/>
      <c r="F1391" s="27"/>
      <c r="G1391" s="27"/>
      <c r="H1391" s="27"/>
    </row>
    <row r="1392" spans="2:8" ht="15" x14ac:dyDescent="0.25">
      <c r="B1392" s="27"/>
      <c r="C1392" s="27"/>
      <c r="D1392" s="27"/>
      <c r="E1392" s="27"/>
      <c r="F1392" s="27"/>
      <c r="G1392" s="27"/>
      <c r="H1392" s="27"/>
    </row>
    <row r="1393" spans="2:8" ht="15" x14ac:dyDescent="0.25">
      <c r="B1393" s="27"/>
      <c r="C1393" s="27"/>
      <c r="D1393" s="27"/>
      <c r="E1393" s="27"/>
      <c r="F1393" s="27"/>
      <c r="G1393" s="27"/>
      <c r="H1393" s="27"/>
    </row>
    <row r="1394" spans="2:8" ht="15" x14ac:dyDescent="0.25">
      <c r="B1394" s="27"/>
      <c r="C1394" s="27"/>
      <c r="D1394" s="27"/>
      <c r="E1394" s="27"/>
      <c r="F1394" s="27"/>
      <c r="G1394" s="27"/>
      <c r="H1394" s="27"/>
    </row>
    <row r="1395" spans="2:8" ht="15" x14ac:dyDescent="0.25">
      <c r="B1395" s="27"/>
      <c r="C1395" s="27"/>
      <c r="D1395" s="27"/>
      <c r="E1395" s="27"/>
      <c r="F1395" s="27"/>
      <c r="G1395" s="27"/>
      <c r="H1395" s="27"/>
    </row>
    <row r="1396" spans="2:8" ht="15" x14ac:dyDescent="0.25">
      <c r="B1396" s="27"/>
      <c r="C1396" s="27"/>
      <c r="D1396" s="27"/>
      <c r="E1396" s="27"/>
      <c r="F1396" s="27"/>
      <c r="G1396" s="27"/>
      <c r="H1396" s="27"/>
    </row>
    <row r="1397" spans="2:8" ht="15" x14ac:dyDescent="0.25">
      <c r="B1397" s="27"/>
      <c r="C1397" s="27"/>
      <c r="D1397" s="27"/>
      <c r="E1397" s="27"/>
      <c r="F1397" s="27"/>
      <c r="G1397" s="27"/>
      <c r="H1397" s="27"/>
    </row>
    <row r="1398" spans="2:8" ht="15" x14ac:dyDescent="0.25">
      <c r="B1398" s="27"/>
      <c r="C1398" s="27"/>
      <c r="D1398" s="27"/>
      <c r="E1398" s="27"/>
      <c r="F1398" s="27"/>
      <c r="G1398" s="27"/>
      <c r="H1398" s="27"/>
    </row>
    <row r="1399" spans="2:8" ht="15" x14ac:dyDescent="0.25">
      <c r="B1399" s="27"/>
      <c r="C1399" s="27"/>
      <c r="D1399" s="27"/>
      <c r="E1399" s="27"/>
      <c r="F1399" s="27"/>
      <c r="G1399" s="27"/>
      <c r="H1399" s="27"/>
    </row>
    <row r="1400" spans="2:8" ht="15" x14ac:dyDescent="0.25">
      <c r="B1400" s="27"/>
      <c r="C1400" s="27"/>
      <c r="D1400" s="27"/>
      <c r="E1400" s="27"/>
      <c r="F1400" s="27"/>
      <c r="G1400" s="27"/>
      <c r="H1400" s="27"/>
    </row>
    <row r="1401" spans="2:8" ht="15" x14ac:dyDescent="0.25">
      <c r="B1401" s="27"/>
      <c r="C1401" s="27"/>
      <c r="D1401" s="27"/>
      <c r="E1401" s="27"/>
      <c r="F1401" s="27"/>
      <c r="G1401" s="27"/>
      <c r="H1401" s="27"/>
    </row>
    <row r="1402" spans="2:8" ht="15" x14ac:dyDescent="0.25">
      <c r="B1402" s="27"/>
      <c r="C1402" s="27"/>
      <c r="D1402" s="27"/>
      <c r="E1402" s="27"/>
      <c r="F1402" s="27"/>
      <c r="G1402" s="27"/>
      <c r="H1402" s="27"/>
    </row>
    <row r="1403" spans="2:8" ht="15" x14ac:dyDescent="0.25">
      <c r="B1403" s="27"/>
      <c r="C1403" s="27"/>
      <c r="D1403" s="27"/>
      <c r="E1403" s="27"/>
      <c r="F1403" s="27"/>
      <c r="G1403" s="27"/>
      <c r="H1403" s="27"/>
    </row>
    <row r="1404" spans="2:8" ht="15" x14ac:dyDescent="0.25">
      <c r="B1404" s="27"/>
      <c r="C1404" s="27"/>
      <c r="D1404" s="27"/>
      <c r="E1404" s="27"/>
      <c r="F1404" s="27"/>
      <c r="G1404" s="27"/>
      <c r="H1404" s="27"/>
    </row>
    <row r="1405" spans="2:8" ht="15" x14ac:dyDescent="0.25">
      <c r="B1405" s="27"/>
      <c r="C1405" s="27"/>
      <c r="D1405" s="27"/>
      <c r="E1405" s="27"/>
      <c r="F1405" s="27"/>
      <c r="G1405" s="27"/>
      <c r="H1405" s="27"/>
    </row>
    <row r="1406" spans="2:8" ht="15" x14ac:dyDescent="0.25">
      <c r="B1406" s="27"/>
      <c r="C1406" s="27"/>
      <c r="D1406" s="27"/>
      <c r="E1406" s="27"/>
      <c r="F1406" s="27"/>
      <c r="G1406" s="27"/>
      <c r="H1406" s="27"/>
    </row>
    <row r="1407" spans="2:8" ht="15" x14ac:dyDescent="0.25">
      <c r="B1407" s="27"/>
      <c r="C1407" s="27"/>
      <c r="D1407" s="27"/>
      <c r="E1407" s="27"/>
      <c r="F1407" s="27"/>
      <c r="G1407" s="27"/>
      <c r="H1407" s="27"/>
    </row>
    <row r="1408" spans="2:8" ht="15" x14ac:dyDescent="0.25">
      <c r="B1408" s="27"/>
      <c r="C1408" s="27"/>
      <c r="D1408" s="27"/>
      <c r="E1408" s="27"/>
      <c r="F1408" s="27"/>
      <c r="G1408" s="27"/>
      <c r="H1408" s="27"/>
    </row>
    <row r="1409" spans="2:8" ht="15" x14ac:dyDescent="0.25">
      <c r="B1409" s="27"/>
      <c r="C1409" s="27"/>
      <c r="D1409" s="27"/>
      <c r="E1409" s="27"/>
      <c r="F1409" s="27"/>
      <c r="G1409" s="27"/>
      <c r="H1409" s="27"/>
    </row>
    <row r="1410" spans="2:8" ht="15" x14ac:dyDescent="0.25">
      <c r="B1410" s="27"/>
      <c r="C1410" s="27"/>
      <c r="D1410" s="27"/>
      <c r="E1410" s="27"/>
      <c r="F1410" s="27"/>
      <c r="G1410" s="27"/>
      <c r="H1410" s="27"/>
    </row>
    <row r="1411" spans="2:8" ht="15" x14ac:dyDescent="0.25">
      <c r="B1411" s="27"/>
      <c r="C1411" s="27"/>
      <c r="D1411" s="27"/>
      <c r="E1411" s="27"/>
      <c r="F1411" s="27"/>
      <c r="G1411" s="27"/>
      <c r="H1411" s="27"/>
    </row>
    <row r="1412" spans="2:8" ht="15" x14ac:dyDescent="0.25">
      <c r="B1412" s="27"/>
      <c r="C1412" s="27"/>
      <c r="D1412" s="27"/>
      <c r="E1412" s="27"/>
      <c r="F1412" s="27"/>
      <c r="G1412" s="27"/>
      <c r="H1412" s="27"/>
    </row>
    <row r="1413" spans="2:8" ht="15" x14ac:dyDescent="0.25">
      <c r="B1413" s="27"/>
      <c r="C1413" s="27"/>
      <c r="D1413" s="27"/>
      <c r="E1413" s="27"/>
      <c r="F1413" s="27"/>
      <c r="G1413" s="27"/>
      <c r="H1413" s="27"/>
    </row>
    <row r="1414" spans="2:8" ht="15" x14ac:dyDescent="0.25">
      <c r="B1414" s="27"/>
      <c r="C1414" s="27"/>
      <c r="D1414" s="27"/>
      <c r="E1414" s="27"/>
      <c r="F1414" s="27"/>
      <c r="G1414" s="27"/>
      <c r="H1414" s="27"/>
    </row>
    <row r="1415" spans="2:8" ht="15" x14ac:dyDescent="0.25">
      <c r="B1415" s="27"/>
      <c r="C1415" s="27"/>
      <c r="D1415" s="27"/>
      <c r="E1415" s="27"/>
      <c r="F1415" s="27"/>
      <c r="G1415" s="27"/>
      <c r="H1415" s="27"/>
    </row>
    <row r="1416" spans="2:8" ht="15" x14ac:dyDescent="0.25">
      <c r="B1416" s="27"/>
      <c r="C1416" s="27"/>
      <c r="D1416" s="27"/>
      <c r="E1416" s="27"/>
      <c r="F1416" s="27"/>
      <c r="G1416" s="27"/>
      <c r="H1416" s="27"/>
    </row>
    <row r="1417" spans="2:8" ht="15" x14ac:dyDescent="0.25">
      <c r="B1417" s="27"/>
      <c r="C1417" s="27"/>
      <c r="D1417" s="27"/>
      <c r="E1417" s="27"/>
      <c r="F1417" s="27"/>
      <c r="G1417" s="27"/>
      <c r="H1417" s="27"/>
    </row>
    <row r="1418" spans="2:8" ht="15" x14ac:dyDescent="0.25">
      <c r="B1418" s="27"/>
      <c r="C1418" s="27"/>
      <c r="D1418" s="27"/>
      <c r="E1418" s="27"/>
      <c r="F1418" s="27"/>
      <c r="G1418" s="27"/>
      <c r="H1418" s="27"/>
    </row>
    <row r="1419" spans="2:8" ht="15" x14ac:dyDescent="0.25">
      <c r="B1419" s="27"/>
      <c r="C1419" s="27"/>
      <c r="D1419" s="27"/>
      <c r="E1419" s="27"/>
      <c r="F1419" s="27"/>
      <c r="G1419" s="27"/>
      <c r="H1419" s="27"/>
    </row>
    <row r="1420" spans="2:8" ht="15" x14ac:dyDescent="0.25">
      <c r="B1420" s="27"/>
      <c r="C1420" s="27"/>
      <c r="D1420" s="27"/>
      <c r="E1420" s="27"/>
      <c r="F1420" s="27"/>
      <c r="G1420" s="27"/>
      <c r="H1420" s="27"/>
    </row>
    <row r="1421" spans="2:8" ht="15" x14ac:dyDescent="0.25">
      <c r="B1421" s="27"/>
      <c r="C1421" s="27"/>
      <c r="D1421" s="27"/>
      <c r="E1421" s="27"/>
      <c r="F1421" s="27"/>
      <c r="G1421" s="27"/>
      <c r="H1421" s="27"/>
    </row>
    <row r="1422" spans="2:8" ht="15" x14ac:dyDescent="0.25">
      <c r="B1422" s="27"/>
      <c r="C1422" s="27"/>
      <c r="D1422" s="27"/>
      <c r="E1422" s="27"/>
      <c r="F1422" s="27"/>
      <c r="G1422" s="27"/>
      <c r="H1422" s="27"/>
    </row>
    <row r="1423" spans="2:8" ht="15" x14ac:dyDescent="0.25">
      <c r="B1423" s="27"/>
      <c r="C1423" s="27"/>
      <c r="D1423" s="27"/>
      <c r="E1423" s="27"/>
      <c r="F1423" s="27"/>
      <c r="G1423" s="27"/>
      <c r="H1423" s="27"/>
    </row>
    <row r="1424" spans="2:8" ht="15" x14ac:dyDescent="0.25">
      <c r="B1424" s="27"/>
      <c r="C1424" s="27"/>
      <c r="D1424" s="27"/>
      <c r="E1424" s="27"/>
      <c r="F1424" s="27"/>
      <c r="G1424" s="27"/>
      <c r="H1424" s="27"/>
    </row>
    <row r="1425" spans="2:8" ht="15" x14ac:dyDescent="0.25">
      <c r="B1425" s="27"/>
      <c r="C1425" s="27"/>
      <c r="D1425" s="27"/>
      <c r="E1425" s="27"/>
      <c r="F1425" s="27"/>
      <c r="G1425" s="27"/>
      <c r="H1425" s="27"/>
    </row>
    <row r="1426" spans="2:8" ht="15" x14ac:dyDescent="0.25">
      <c r="B1426" s="27"/>
      <c r="C1426" s="27"/>
      <c r="D1426" s="27"/>
      <c r="E1426" s="27"/>
      <c r="F1426" s="27"/>
      <c r="G1426" s="27"/>
      <c r="H1426" s="27"/>
    </row>
    <row r="1427" spans="2:8" ht="15" x14ac:dyDescent="0.25">
      <c r="B1427" s="27"/>
      <c r="C1427" s="27"/>
      <c r="D1427" s="27"/>
      <c r="E1427" s="27"/>
      <c r="F1427" s="27"/>
      <c r="G1427" s="27"/>
      <c r="H1427" s="27"/>
    </row>
    <row r="1428" spans="2:8" ht="15" x14ac:dyDescent="0.25">
      <c r="B1428" s="27"/>
      <c r="C1428" s="27"/>
      <c r="D1428" s="27"/>
      <c r="E1428" s="27"/>
      <c r="F1428" s="27"/>
      <c r="G1428" s="27"/>
      <c r="H1428" s="27"/>
    </row>
    <row r="1429" spans="2:8" ht="15" x14ac:dyDescent="0.25">
      <c r="B1429" s="27"/>
      <c r="C1429" s="27"/>
      <c r="D1429" s="27"/>
      <c r="E1429" s="27"/>
      <c r="F1429" s="27"/>
      <c r="G1429" s="27"/>
      <c r="H1429" s="27"/>
    </row>
    <row r="1430" spans="2:8" ht="15" x14ac:dyDescent="0.25">
      <c r="B1430" s="27"/>
      <c r="C1430" s="27"/>
      <c r="D1430" s="27"/>
      <c r="E1430" s="27"/>
      <c r="F1430" s="27"/>
      <c r="G1430" s="27"/>
      <c r="H1430" s="27"/>
    </row>
    <row r="1431" spans="2:8" ht="15" x14ac:dyDescent="0.25">
      <c r="B1431" s="27"/>
      <c r="C1431" s="27"/>
      <c r="D1431" s="27"/>
      <c r="E1431" s="27"/>
      <c r="F1431" s="27"/>
      <c r="G1431" s="27"/>
      <c r="H1431" s="27"/>
    </row>
    <row r="1432" spans="2:8" ht="15" x14ac:dyDescent="0.25">
      <c r="B1432" s="27"/>
      <c r="C1432" s="27"/>
      <c r="D1432" s="27"/>
      <c r="E1432" s="27"/>
      <c r="F1432" s="27"/>
      <c r="G1432" s="27"/>
      <c r="H1432" s="27"/>
    </row>
    <row r="1433" spans="2:8" ht="15" x14ac:dyDescent="0.25">
      <c r="B1433" s="27"/>
      <c r="C1433" s="27"/>
      <c r="D1433" s="27"/>
      <c r="E1433" s="27"/>
      <c r="F1433" s="27"/>
      <c r="G1433" s="27"/>
      <c r="H1433" s="27"/>
    </row>
    <row r="1434" spans="2:8" ht="15" x14ac:dyDescent="0.25">
      <c r="B1434" s="27"/>
      <c r="C1434" s="27"/>
      <c r="D1434" s="27"/>
      <c r="E1434" s="27"/>
      <c r="F1434" s="27"/>
      <c r="G1434" s="27"/>
      <c r="H1434" s="27"/>
    </row>
    <row r="1435" spans="2:8" ht="15" x14ac:dyDescent="0.25">
      <c r="B1435" s="27"/>
      <c r="C1435" s="27"/>
      <c r="D1435" s="27"/>
      <c r="E1435" s="27"/>
      <c r="F1435" s="27"/>
      <c r="G1435" s="27"/>
      <c r="H1435" s="27"/>
    </row>
    <row r="1436" spans="2:8" ht="15" x14ac:dyDescent="0.25">
      <c r="B1436" s="27"/>
      <c r="C1436" s="27"/>
      <c r="D1436" s="27"/>
      <c r="E1436" s="27"/>
      <c r="F1436" s="27"/>
      <c r="G1436" s="27"/>
      <c r="H1436" s="27"/>
    </row>
    <row r="1437" spans="2:8" ht="15" x14ac:dyDescent="0.25">
      <c r="B1437" s="27"/>
      <c r="C1437" s="27"/>
      <c r="D1437" s="27"/>
      <c r="E1437" s="27"/>
      <c r="F1437" s="27"/>
      <c r="G1437" s="27"/>
      <c r="H1437" s="27"/>
    </row>
    <row r="1438" spans="2:8" ht="15" x14ac:dyDescent="0.25">
      <c r="B1438" s="27"/>
      <c r="C1438" s="27"/>
      <c r="D1438" s="27"/>
      <c r="E1438" s="27"/>
      <c r="F1438" s="27"/>
      <c r="G1438" s="27"/>
      <c r="H1438" s="27"/>
    </row>
    <row r="1439" spans="2:8" ht="15" x14ac:dyDescent="0.25">
      <c r="B1439" s="27"/>
      <c r="C1439" s="27"/>
      <c r="D1439" s="27"/>
      <c r="E1439" s="27"/>
      <c r="F1439" s="27"/>
      <c r="G1439" s="27"/>
      <c r="H1439" s="27"/>
    </row>
    <row r="1440" spans="2:8" ht="15" x14ac:dyDescent="0.25">
      <c r="B1440" s="27"/>
      <c r="C1440" s="27"/>
      <c r="D1440" s="27"/>
      <c r="E1440" s="27"/>
      <c r="F1440" s="27"/>
      <c r="G1440" s="27"/>
      <c r="H1440" s="27"/>
    </row>
    <row r="1441" spans="2:8" ht="15" x14ac:dyDescent="0.25">
      <c r="B1441" s="27"/>
      <c r="C1441" s="27"/>
      <c r="D1441" s="27"/>
      <c r="E1441" s="27"/>
      <c r="F1441" s="27"/>
      <c r="G1441" s="27"/>
      <c r="H1441" s="27"/>
    </row>
    <row r="1442" spans="2:8" ht="15" x14ac:dyDescent="0.25">
      <c r="B1442" s="27"/>
      <c r="C1442" s="27"/>
      <c r="D1442" s="27"/>
      <c r="E1442" s="27"/>
      <c r="F1442" s="27"/>
      <c r="G1442" s="27"/>
      <c r="H1442" s="27"/>
    </row>
    <row r="1443" spans="2:8" ht="15" x14ac:dyDescent="0.25">
      <c r="B1443" s="27"/>
      <c r="C1443" s="27"/>
      <c r="D1443" s="27"/>
      <c r="E1443" s="27"/>
      <c r="F1443" s="27"/>
      <c r="G1443" s="27"/>
      <c r="H1443" s="27"/>
    </row>
    <row r="1444" spans="2:8" ht="15" x14ac:dyDescent="0.25">
      <c r="B1444" s="27"/>
      <c r="C1444" s="27"/>
      <c r="D1444" s="27"/>
      <c r="E1444" s="27"/>
      <c r="F1444" s="27"/>
      <c r="G1444" s="27"/>
      <c r="H1444" s="27"/>
    </row>
    <row r="1445" spans="2:8" ht="15" x14ac:dyDescent="0.25">
      <c r="B1445" s="27"/>
      <c r="C1445" s="27"/>
      <c r="D1445" s="27"/>
      <c r="E1445" s="27"/>
      <c r="F1445" s="27"/>
      <c r="G1445" s="27"/>
      <c r="H1445" s="27"/>
    </row>
    <row r="1446" spans="2:8" ht="15" x14ac:dyDescent="0.25">
      <c r="B1446" s="27"/>
      <c r="C1446" s="27"/>
      <c r="D1446" s="27"/>
      <c r="E1446" s="27"/>
      <c r="F1446" s="27"/>
      <c r="G1446" s="27"/>
      <c r="H1446" s="27"/>
    </row>
    <row r="1447" spans="2:8" ht="15" x14ac:dyDescent="0.25">
      <c r="B1447" s="27"/>
      <c r="C1447" s="27"/>
      <c r="D1447" s="27"/>
      <c r="E1447" s="27"/>
      <c r="F1447" s="27"/>
      <c r="G1447" s="27"/>
      <c r="H1447" s="27"/>
    </row>
    <row r="1448" spans="2:8" ht="15" x14ac:dyDescent="0.25">
      <c r="B1448" s="27"/>
      <c r="C1448" s="27"/>
      <c r="D1448" s="27"/>
      <c r="E1448" s="27"/>
      <c r="F1448" s="27"/>
      <c r="G1448" s="27"/>
      <c r="H1448" s="27"/>
    </row>
    <row r="1449" spans="2:8" ht="15" x14ac:dyDescent="0.25">
      <c r="B1449" s="27"/>
      <c r="C1449" s="27"/>
      <c r="D1449" s="27"/>
      <c r="E1449" s="27"/>
      <c r="F1449" s="27"/>
      <c r="G1449" s="27"/>
      <c r="H1449" s="27"/>
    </row>
    <row r="1450" spans="2:8" ht="15" x14ac:dyDescent="0.25">
      <c r="B1450" s="27"/>
      <c r="C1450" s="27"/>
      <c r="D1450" s="27"/>
      <c r="E1450" s="27"/>
      <c r="F1450" s="27"/>
      <c r="G1450" s="27"/>
      <c r="H1450" s="27"/>
    </row>
    <row r="1451" spans="2:8" ht="15" x14ac:dyDescent="0.25">
      <c r="B1451" s="27"/>
      <c r="C1451" s="27"/>
      <c r="D1451" s="27"/>
      <c r="E1451" s="27"/>
      <c r="F1451" s="27"/>
      <c r="G1451" s="27"/>
      <c r="H1451" s="27"/>
    </row>
    <row r="1452" spans="2:8" ht="15" x14ac:dyDescent="0.25">
      <c r="B1452" s="27"/>
      <c r="C1452" s="27"/>
      <c r="D1452" s="27"/>
      <c r="E1452" s="27"/>
      <c r="F1452" s="27"/>
      <c r="G1452" s="27"/>
      <c r="H1452" s="27"/>
    </row>
    <row r="1453" spans="2:8" ht="15" x14ac:dyDescent="0.25">
      <c r="B1453" s="27"/>
      <c r="C1453" s="27"/>
      <c r="D1453" s="27"/>
      <c r="E1453" s="27"/>
      <c r="F1453" s="27"/>
      <c r="G1453" s="27"/>
      <c r="H1453" s="27"/>
    </row>
    <row r="1454" spans="2:8" ht="15" x14ac:dyDescent="0.25">
      <c r="B1454" s="27"/>
      <c r="C1454" s="27"/>
      <c r="D1454" s="27"/>
      <c r="E1454" s="27"/>
      <c r="F1454" s="27"/>
      <c r="G1454" s="27"/>
      <c r="H1454" s="27"/>
    </row>
    <row r="1455" spans="2:8" ht="15" x14ac:dyDescent="0.25">
      <c r="B1455" s="27"/>
      <c r="C1455" s="27"/>
      <c r="D1455" s="27"/>
      <c r="E1455" s="27"/>
      <c r="F1455" s="27"/>
      <c r="G1455" s="27"/>
      <c r="H1455" s="27"/>
    </row>
    <row r="1456" spans="2:8" ht="15" x14ac:dyDescent="0.25">
      <c r="B1456" s="27"/>
      <c r="C1456" s="27"/>
      <c r="D1456" s="27"/>
      <c r="E1456" s="27"/>
      <c r="F1456" s="27"/>
      <c r="G1456" s="27"/>
      <c r="H1456" s="27"/>
    </row>
    <row r="1457" spans="2:8" ht="15" x14ac:dyDescent="0.25">
      <c r="B1457" s="27"/>
      <c r="C1457" s="27"/>
      <c r="D1457" s="27"/>
      <c r="E1457" s="27"/>
      <c r="F1457" s="27"/>
      <c r="G1457" s="27"/>
      <c r="H1457" s="27"/>
    </row>
    <row r="1458" spans="2:8" ht="15" x14ac:dyDescent="0.25">
      <c r="B1458" s="27"/>
      <c r="C1458" s="27"/>
      <c r="D1458" s="27"/>
      <c r="E1458" s="27"/>
      <c r="F1458" s="27"/>
      <c r="G1458" s="27"/>
      <c r="H1458" s="27"/>
    </row>
    <row r="1459" spans="2:8" ht="15" x14ac:dyDescent="0.25">
      <c r="B1459" s="27"/>
      <c r="C1459" s="27"/>
      <c r="D1459" s="27"/>
      <c r="E1459" s="27"/>
      <c r="F1459" s="27"/>
      <c r="G1459" s="27"/>
      <c r="H1459" s="27"/>
    </row>
    <row r="1460" spans="2:8" ht="15" x14ac:dyDescent="0.25">
      <c r="B1460" s="27"/>
      <c r="C1460" s="27"/>
      <c r="D1460" s="27"/>
      <c r="E1460" s="27"/>
      <c r="F1460" s="27"/>
      <c r="G1460" s="27"/>
      <c r="H1460" s="27"/>
    </row>
    <row r="1461" spans="2:8" ht="15" x14ac:dyDescent="0.25">
      <c r="B1461" s="27"/>
      <c r="C1461" s="27"/>
      <c r="D1461" s="27"/>
      <c r="E1461" s="27"/>
      <c r="F1461" s="27"/>
      <c r="G1461" s="27"/>
      <c r="H1461" s="27"/>
    </row>
    <row r="1462" spans="2:8" ht="15" x14ac:dyDescent="0.25">
      <c r="B1462" s="27"/>
      <c r="C1462" s="27"/>
      <c r="D1462" s="27"/>
      <c r="E1462" s="27"/>
      <c r="F1462" s="27"/>
      <c r="G1462" s="27"/>
      <c r="H1462" s="27"/>
    </row>
    <row r="1463" spans="2:8" ht="15" x14ac:dyDescent="0.25">
      <c r="B1463" s="27"/>
      <c r="C1463" s="27"/>
      <c r="D1463" s="27"/>
      <c r="E1463" s="27"/>
      <c r="F1463" s="27"/>
      <c r="G1463" s="27"/>
      <c r="H1463" s="27"/>
    </row>
    <row r="1464" spans="2:8" ht="15" x14ac:dyDescent="0.25">
      <c r="B1464" s="27"/>
      <c r="C1464" s="27"/>
      <c r="D1464" s="27"/>
      <c r="E1464" s="27"/>
      <c r="F1464" s="27"/>
      <c r="G1464" s="27"/>
      <c r="H1464" s="27"/>
    </row>
    <row r="1465" spans="2:8" ht="15" x14ac:dyDescent="0.25">
      <c r="B1465" s="27"/>
      <c r="C1465" s="27"/>
      <c r="D1465" s="27"/>
      <c r="E1465" s="27"/>
      <c r="F1465" s="27"/>
      <c r="G1465" s="27"/>
      <c r="H1465" s="27"/>
    </row>
    <row r="1466" spans="2:8" ht="15" x14ac:dyDescent="0.25">
      <c r="B1466" s="27"/>
      <c r="C1466" s="27"/>
      <c r="D1466" s="27"/>
      <c r="E1466" s="27"/>
      <c r="F1466" s="27"/>
      <c r="G1466" s="27"/>
      <c r="H1466" s="27"/>
    </row>
    <row r="1467" spans="2:8" ht="15" x14ac:dyDescent="0.25">
      <c r="B1467" s="27"/>
      <c r="C1467" s="27"/>
      <c r="D1467" s="27"/>
      <c r="E1467" s="27"/>
      <c r="F1467" s="27"/>
      <c r="G1467" s="27"/>
      <c r="H1467" s="27"/>
    </row>
    <row r="1468" spans="2:8" ht="15" x14ac:dyDescent="0.25">
      <c r="B1468" s="27"/>
      <c r="C1468" s="27"/>
      <c r="D1468" s="27"/>
      <c r="E1468" s="27"/>
      <c r="F1468" s="27"/>
      <c r="G1468" s="27"/>
      <c r="H1468" s="27"/>
    </row>
    <row r="1469" spans="2:8" ht="15" x14ac:dyDescent="0.25">
      <c r="B1469" s="27"/>
      <c r="C1469" s="27"/>
      <c r="D1469" s="27"/>
      <c r="E1469" s="27"/>
      <c r="F1469" s="27"/>
      <c r="G1469" s="27"/>
      <c r="H1469" s="27"/>
    </row>
    <row r="1470" spans="2:8" ht="15" x14ac:dyDescent="0.25">
      <c r="B1470" s="27"/>
      <c r="C1470" s="27"/>
      <c r="D1470" s="27"/>
      <c r="E1470" s="27"/>
      <c r="F1470" s="27"/>
      <c r="G1470" s="27"/>
      <c r="H1470" s="27"/>
    </row>
    <row r="1471" spans="2:8" ht="15" x14ac:dyDescent="0.25">
      <c r="B1471" s="27"/>
      <c r="C1471" s="27"/>
      <c r="D1471" s="27"/>
      <c r="E1471" s="27"/>
      <c r="F1471" s="27"/>
      <c r="G1471" s="27"/>
      <c r="H1471" s="27"/>
    </row>
    <row r="1472" spans="2:8" ht="15" x14ac:dyDescent="0.25">
      <c r="B1472" s="27"/>
      <c r="C1472" s="27"/>
      <c r="D1472" s="27"/>
      <c r="E1472" s="27"/>
      <c r="F1472" s="27"/>
      <c r="G1472" s="27"/>
      <c r="H1472" s="27"/>
    </row>
    <row r="1473" spans="2:8" ht="15" x14ac:dyDescent="0.25">
      <c r="B1473" s="27"/>
      <c r="C1473" s="27"/>
      <c r="D1473" s="27"/>
      <c r="E1473" s="27"/>
      <c r="F1473" s="27"/>
      <c r="G1473" s="27"/>
      <c r="H1473" s="27"/>
    </row>
    <row r="1474" spans="2:8" ht="15" x14ac:dyDescent="0.25">
      <c r="B1474" s="27"/>
      <c r="C1474" s="27"/>
      <c r="D1474" s="27"/>
      <c r="E1474" s="27"/>
      <c r="F1474" s="27"/>
      <c r="G1474" s="27"/>
      <c r="H1474" s="27"/>
    </row>
    <row r="1475" spans="2:8" ht="15" x14ac:dyDescent="0.25">
      <c r="B1475" s="27"/>
      <c r="C1475" s="27"/>
      <c r="D1475" s="27"/>
      <c r="E1475" s="27"/>
      <c r="F1475" s="27"/>
      <c r="G1475" s="27"/>
      <c r="H1475" s="27"/>
    </row>
    <row r="1476" spans="2:8" ht="15" x14ac:dyDescent="0.25">
      <c r="B1476" s="27"/>
      <c r="C1476" s="27"/>
      <c r="D1476" s="27"/>
      <c r="E1476" s="27"/>
      <c r="F1476" s="27"/>
      <c r="G1476" s="27"/>
      <c r="H1476" s="27"/>
    </row>
    <row r="1477" spans="2:8" ht="15" x14ac:dyDescent="0.25">
      <c r="B1477" s="27"/>
      <c r="C1477" s="27"/>
      <c r="D1477" s="27"/>
      <c r="E1477" s="27"/>
      <c r="F1477" s="27"/>
      <c r="G1477" s="27"/>
      <c r="H1477" s="27"/>
    </row>
    <row r="1478" spans="2:8" ht="15" x14ac:dyDescent="0.25">
      <c r="B1478" s="27"/>
      <c r="C1478" s="27"/>
      <c r="D1478" s="27"/>
      <c r="E1478" s="27"/>
      <c r="F1478" s="27"/>
      <c r="G1478" s="27"/>
      <c r="H1478" s="27"/>
    </row>
    <row r="1479" spans="2:8" ht="15" x14ac:dyDescent="0.25">
      <c r="B1479" s="27"/>
      <c r="C1479" s="27"/>
      <c r="D1479" s="27"/>
      <c r="E1479" s="27"/>
      <c r="F1479" s="27"/>
      <c r="G1479" s="27"/>
      <c r="H1479" s="27"/>
    </row>
    <row r="1480" spans="2:8" ht="15" x14ac:dyDescent="0.25">
      <c r="B1480" s="27"/>
      <c r="C1480" s="27"/>
      <c r="D1480" s="27"/>
      <c r="E1480" s="27"/>
      <c r="F1480" s="27"/>
      <c r="G1480" s="27"/>
      <c r="H1480" s="27"/>
    </row>
    <row r="1481" spans="2:8" ht="15" x14ac:dyDescent="0.25">
      <c r="B1481" s="27"/>
      <c r="C1481" s="27"/>
      <c r="D1481" s="27"/>
      <c r="E1481" s="27"/>
      <c r="F1481" s="27"/>
      <c r="G1481" s="27"/>
      <c r="H1481" s="27"/>
    </row>
    <row r="1482" spans="2:8" ht="15" x14ac:dyDescent="0.25">
      <c r="B1482" s="27"/>
      <c r="C1482" s="27"/>
      <c r="D1482" s="27"/>
      <c r="E1482" s="27"/>
      <c r="F1482" s="27"/>
      <c r="G1482" s="27"/>
      <c r="H1482" s="27"/>
    </row>
    <row r="1483" spans="2:8" ht="15" x14ac:dyDescent="0.25">
      <c r="B1483" s="27"/>
      <c r="C1483" s="27"/>
      <c r="D1483" s="27"/>
      <c r="E1483" s="27"/>
      <c r="F1483" s="27"/>
      <c r="G1483" s="27"/>
      <c r="H1483" s="27"/>
    </row>
    <row r="1484" spans="2:8" ht="15" x14ac:dyDescent="0.25">
      <c r="B1484" s="27"/>
      <c r="C1484" s="27"/>
      <c r="D1484" s="27"/>
      <c r="E1484" s="27"/>
      <c r="F1484" s="27"/>
      <c r="G1484" s="27"/>
      <c r="H1484" s="27"/>
    </row>
    <row r="1485" spans="2:8" ht="15" x14ac:dyDescent="0.25">
      <c r="B1485" s="27"/>
      <c r="C1485" s="27"/>
      <c r="D1485" s="27"/>
      <c r="E1485" s="27"/>
      <c r="F1485" s="27"/>
      <c r="G1485" s="27"/>
      <c r="H1485" s="27"/>
    </row>
    <row r="1486" spans="2:8" ht="15" x14ac:dyDescent="0.25">
      <c r="B1486" s="27"/>
      <c r="C1486" s="27"/>
      <c r="D1486" s="27"/>
      <c r="E1486" s="27"/>
      <c r="F1486" s="27"/>
      <c r="G1486" s="27"/>
      <c r="H1486" s="27"/>
    </row>
    <row r="1487" spans="2:8" ht="15" x14ac:dyDescent="0.25">
      <c r="B1487" s="27"/>
      <c r="C1487" s="27"/>
      <c r="D1487" s="27"/>
      <c r="E1487" s="27"/>
      <c r="F1487" s="27"/>
      <c r="G1487" s="27"/>
      <c r="H1487" s="27"/>
    </row>
    <row r="1488" spans="2:8" ht="15" x14ac:dyDescent="0.25">
      <c r="B1488" s="27"/>
      <c r="C1488" s="27"/>
      <c r="D1488" s="27"/>
      <c r="E1488" s="27"/>
      <c r="F1488" s="27"/>
      <c r="G1488" s="27"/>
      <c r="H1488" s="27"/>
    </row>
    <row r="1489" spans="2:8" ht="15" x14ac:dyDescent="0.25">
      <c r="B1489" s="27"/>
      <c r="C1489" s="27"/>
      <c r="D1489" s="27"/>
      <c r="E1489" s="27"/>
      <c r="F1489" s="27"/>
      <c r="G1489" s="27"/>
      <c r="H1489" s="27"/>
    </row>
    <row r="1490" spans="2:8" ht="15" x14ac:dyDescent="0.25">
      <c r="B1490" s="27"/>
      <c r="C1490" s="27"/>
      <c r="D1490" s="27"/>
      <c r="E1490" s="27"/>
      <c r="F1490" s="27"/>
      <c r="G1490" s="27"/>
      <c r="H1490" s="27"/>
    </row>
    <row r="1491" spans="2:8" ht="15" x14ac:dyDescent="0.25">
      <c r="B1491" s="27"/>
      <c r="C1491" s="27"/>
      <c r="D1491" s="27"/>
      <c r="E1491" s="27"/>
      <c r="F1491" s="27"/>
      <c r="G1491" s="27"/>
      <c r="H1491" s="27"/>
    </row>
    <row r="1492" spans="2:8" ht="15" x14ac:dyDescent="0.25">
      <c r="B1492" s="27"/>
      <c r="C1492" s="27"/>
      <c r="D1492" s="27"/>
      <c r="E1492" s="27"/>
      <c r="F1492" s="27"/>
      <c r="G1492" s="27"/>
      <c r="H1492" s="27"/>
    </row>
    <row r="1493" spans="2:8" ht="15" x14ac:dyDescent="0.25">
      <c r="B1493" s="27"/>
      <c r="C1493" s="27"/>
      <c r="D1493" s="27"/>
      <c r="E1493" s="27"/>
      <c r="F1493" s="27"/>
      <c r="G1493" s="27"/>
      <c r="H1493" s="27"/>
    </row>
    <row r="1494" spans="2:8" ht="15" x14ac:dyDescent="0.25">
      <c r="B1494" s="27"/>
      <c r="C1494" s="27"/>
      <c r="D1494" s="27"/>
      <c r="E1494" s="27"/>
      <c r="F1494" s="27"/>
      <c r="G1494" s="27"/>
      <c r="H1494" s="27"/>
    </row>
    <row r="1495" spans="2:8" ht="15" x14ac:dyDescent="0.25">
      <c r="B1495" s="27"/>
      <c r="C1495" s="27"/>
      <c r="D1495" s="27"/>
      <c r="E1495" s="27"/>
      <c r="F1495" s="27"/>
      <c r="G1495" s="27"/>
      <c r="H1495" s="27"/>
    </row>
    <row r="1496" spans="2:8" ht="15" x14ac:dyDescent="0.25">
      <c r="B1496" s="27"/>
      <c r="C1496" s="27"/>
      <c r="D1496" s="27"/>
      <c r="E1496" s="27"/>
      <c r="F1496" s="27"/>
      <c r="G1496" s="27"/>
      <c r="H1496" s="27"/>
    </row>
    <row r="1497" spans="2:8" ht="15" x14ac:dyDescent="0.25">
      <c r="B1497" s="27"/>
      <c r="C1497" s="27"/>
      <c r="D1497" s="27"/>
      <c r="E1497" s="27"/>
      <c r="F1497" s="27"/>
      <c r="G1497" s="27"/>
      <c r="H1497" s="27"/>
    </row>
    <row r="1498" spans="2:8" ht="15" x14ac:dyDescent="0.25">
      <c r="B1498" s="27"/>
      <c r="C1498" s="27"/>
      <c r="D1498" s="27"/>
      <c r="E1498" s="27"/>
      <c r="F1498" s="27"/>
      <c r="G1498" s="27"/>
      <c r="H1498" s="27"/>
    </row>
    <row r="1499" spans="2:8" ht="15" x14ac:dyDescent="0.25">
      <c r="B1499" s="27"/>
      <c r="C1499" s="27"/>
      <c r="D1499" s="27"/>
      <c r="E1499" s="27"/>
      <c r="F1499" s="27"/>
      <c r="G1499" s="27"/>
      <c r="H1499" s="27"/>
    </row>
    <row r="1500" spans="2:8" ht="15" x14ac:dyDescent="0.25">
      <c r="B1500" s="27"/>
      <c r="C1500" s="27"/>
      <c r="D1500" s="27"/>
      <c r="E1500" s="27"/>
      <c r="F1500" s="27"/>
      <c r="G1500" s="27"/>
      <c r="H1500" s="27"/>
    </row>
    <row r="1501" spans="2:8" ht="15" x14ac:dyDescent="0.25">
      <c r="B1501" s="27"/>
      <c r="C1501" s="27"/>
      <c r="D1501" s="27"/>
      <c r="E1501" s="27"/>
      <c r="F1501" s="27"/>
      <c r="G1501" s="27"/>
      <c r="H1501" s="27"/>
    </row>
    <row r="1502" spans="2:8" ht="15" x14ac:dyDescent="0.25">
      <c r="B1502" s="27"/>
      <c r="C1502" s="27"/>
      <c r="D1502" s="27"/>
      <c r="E1502" s="27"/>
      <c r="F1502" s="27"/>
      <c r="G1502" s="27"/>
      <c r="H1502" s="27"/>
    </row>
    <row r="1503" spans="2:8" ht="15" x14ac:dyDescent="0.25">
      <c r="B1503" s="27"/>
      <c r="C1503" s="27"/>
      <c r="D1503" s="27"/>
      <c r="E1503" s="27"/>
      <c r="F1503" s="27"/>
      <c r="G1503" s="27"/>
      <c r="H1503" s="27"/>
    </row>
    <row r="1504" spans="2:8" ht="15" x14ac:dyDescent="0.25">
      <c r="B1504" s="27"/>
      <c r="C1504" s="27"/>
      <c r="D1504" s="27"/>
      <c r="E1504" s="27"/>
      <c r="F1504" s="27"/>
      <c r="G1504" s="27"/>
      <c r="H1504" s="27"/>
    </row>
    <row r="1505" spans="2:8" ht="15" x14ac:dyDescent="0.25">
      <c r="B1505" s="27"/>
      <c r="C1505" s="27"/>
      <c r="D1505" s="27"/>
      <c r="E1505" s="27"/>
      <c r="F1505" s="27"/>
      <c r="G1505" s="27"/>
      <c r="H1505" s="27"/>
    </row>
    <row r="1506" spans="2:8" ht="15" x14ac:dyDescent="0.25">
      <c r="B1506" s="27"/>
      <c r="C1506" s="27"/>
      <c r="D1506" s="27"/>
      <c r="E1506" s="27"/>
      <c r="F1506" s="27"/>
      <c r="G1506" s="27"/>
      <c r="H1506" s="27"/>
    </row>
    <row r="1507" spans="2:8" ht="15" x14ac:dyDescent="0.25">
      <c r="B1507" s="27"/>
      <c r="C1507" s="27"/>
      <c r="D1507" s="27"/>
      <c r="E1507" s="27"/>
      <c r="F1507" s="27"/>
      <c r="G1507" s="27"/>
      <c r="H1507" s="27"/>
    </row>
    <row r="1508" spans="2:8" ht="15" x14ac:dyDescent="0.25">
      <c r="B1508" s="27"/>
      <c r="C1508" s="27"/>
      <c r="D1508" s="27"/>
      <c r="E1508" s="27"/>
      <c r="F1508" s="27"/>
      <c r="G1508" s="27"/>
      <c r="H1508" s="27"/>
    </row>
    <row r="1509" spans="2:8" ht="15" x14ac:dyDescent="0.25">
      <c r="B1509" s="27"/>
      <c r="C1509" s="27"/>
      <c r="D1509" s="27"/>
      <c r="E1509" s="27"/>
      <c r="F1509" s="27"/>
      <c r="G1509" s="27"/>
      <c r="H1509" s="27"/>
    </row>
    <row r="1510" spans="2:8" ht="15" x14ac:dyDescent="0.25">
      <c r="B1510" s="27"/>
      <c r="C1510" s="27"/>
      <c r="D1510" s="27"/>
      <c r="E1510" s="27"/>
      <c r="F1510" s="27"/>
      <c r="G1510" s="27"/>
      <c r="H1510" s="27"/>
    </row>
    <row r="1511" spans="2:8" ht="15" x14ac:dyDescent="0.25">
      <c r="B1511" s="27"/>
      <c r="C1511" s="27"/>
      <c r="D1511" s="27"/>
      <c r="E1511" s="27"/>
      <c r="F1511" s="27"/>
      <c r="G1511" s="27"/>
      <c r="H1511" s="27"/>
    </row>
    <row r="1512" spans="2:8" ht="15" x14ac:dyDescent="0.25">
      <c r="B1512" s="27"/>
      <c r="C1512" s="27"/>
      <c r="D1512" s="27"/>
      <c r="E1512" s="27"/>
      <c r="F1512" s="27"/>
      <c r="G1512" s="27"/>
      <c r="H1512" s="27"/>
    </row>
    <row r="1513" spans="2:8" ht="15" x14ac:dyDescent="0.25">
      <c r="B1513" s="27"/>
      <c r="C1513" s="27"/>
      <c r="D1513" s="27"/>
      <c r="E1513" s="27"/>
      <c r="F1513" s="27"/>
      <c r="G1513" s="27"/>
      <c r="H1513" s="27"/>
    </row>
    <row r="1514" spans="2:8" ht="15" x14ac:dyDescent="0.25">
      <c r="B1514" s="27"/>
      <c r="C1514" s="27"/>
      <c r="D1514" s="27"/>
      <c r="E1514" s="27"/>
      <c r="F1514" s="27"/>
      <c r="G1514" s="27"/>
      <c r="H1514" s="27"/>
    </row>
    <row r="1515" spans="2:8" ht="15" x14ac:dyDescent="0.25">
      <c r="B1515" s="27"/>
      <c r="C1515" s="27"/>
      <c r="D1515" s="27"/>
      <c r="E1515" s="27"/>
      <c r="F1515" s="27"/>
      <c r="G1515" s="27"/>
      <c r="H1515" s="27"/>
    </row>
    <row r="1516" spans="2:8" ht="15" x14ac:dyDescent="0.25">
      <c r="B1516" s="27"/>
      <c r="C1516" s="27"/>
      <c r="D1516" s="27"/>
      <c r="E1516" s="27"/>
      <c r="F1516" s="27"/>
      <c r="G1516" s="27"/>
      <c r="H1516" s="27"/>
    </row>
    <row r="1517" spans="2:8" ht="15" x14ac:dyDescent="0.25">
      <c r="B1517" s="27"/>
      <c r="C1517" s="27"/>
      <c r="D1517" s="27"/>
      <c r="E1517" s="27"/>
      <c r="F1517" s="27"/>
      <c r="G1517" s="27"/>
      <c r="H1517" s="27"/>
    </row>
    <row r="1518" spans="2:8" ht="15" x14ac:dyDescent="0.25">
      <c r="B1518" s="27"/>
      <c r="C1518" s="27"/>
      <c r="D1518" s="27"/>
      <c r="E1518" s="27"/>
      <c r="F1518" s="27"/>
      <c r="G1518" s="27"/>
      <c r="H1518" s="27"/>
    </row>
    <row r="1519" spans="2:8" ht="15" x14ac:dyDescent="0.25">
      <c r="B1519" s="27"/>
      <c r="C1519" s="27"/>
      <c r="D1519" s="27"/>
      <c r="E1519" s="27"/>
      <c r="F1519" s="27"/>
      <c r="G1519" s="27"/>
      <c r="H1519" s="27"/>
    </row>
    <row r="1520" spans="2:8" ht="15" x14ac:dyDescent="0.25">
      <c r="B1520" s="27"/>
      <c r="C1520" s="27"/>
      <c r="D1520" s="27"/>
      <c r="E1520" s="27"/>
      <c r="F1520" s="27"/>
      <c r="G1520" s="27"/>
      <c r="H1520" s="27"/>
    </row>
    <row r="1521" spans="2:8" ht="15" x14ac:dyDescent="0.25">
      <c r="B1521" s="27"/>
      <c r="C1521" s="27"/>
      <c r="D1521" s="27"/>
      <c r="E1521" s="27"/>
      <c r="F1521" s="27"/>
      <c r="G1521" s="27"/>
      <c r="H1521" s="27"/>
    </row>
    <row r="1522" spans="2:8" ht="15" x14ac:dyDescent="0.25">
      <c r="B1522" s="27"/>
      <c r="C1522" s="27"/>
      <c r="D1522" s="27"/>
      <c r="E1522" s="27"/>
      <c r="F1522" s="27"/>
      <c r="G1522" s="27"/>
      <c r="H1522" s="27"/>
    </row>
    <row r="1523" spans="2:8" ht="15" x14ac:dyDescent="0.25">
      <c r="B1523" s="27"/>
      <c r="C1523" s="27"/>
      <c r="D1523" s="27"/>
      <c r="E1523" s="27"/>
      <c r="F1523" s="27"/>
      <c r="G1523" s="27"/>
      <c r="H1523" s="27"/>
    </row>
    <row r="1524" spans="2:8" ht="15" x14ac:dyDescent="0.25">
      <c r="B1524" s="27"/>
      <c r="C1524" s="27"/>
      <c r="D1524" s="27"/>
      <c r="E1524" s="27"/>
      <c r="F1524" s="27"/>
      <c r="G1524" s="27"/>
      <c r="H1524" s="27"/>
    </row>
    <row r="1525" spans="2:8" ht="15" x14ac:dyDescent="0.25">
      <c r="B1525" s="27"/>
      <c r="C1525" s="27"/>
      <c r="D1525" s="27"/>
      <c r="E1525" s="27"/>
      <c r="F1525" s="27"/>
      <c r="G1525" s="27"/>
      <c r="H1525" s="27"/>
    </row>
    <row r="1526" spans="2:8" ht="15" x14ac:dyDescent="0.25">
      <c r="B1526" s="27"/>
      <c r="C1526" s="27"/>
      <c r="D1526" s="27"/>
      <c r="E1526" s="27"/>
      <c r="F1526" s="27"/>
      <c r="G1526" s="27"/>
      <c r="H1526" s="27"/>
    </row>
    <row r="1527" spans="2:8" ht="15" x14ac:dyDescent="0.25">
      <c r="B1527" s="27"/>
      <c r="C1527" s="27"/>
      <c r="D1527" s="27"/>
      <c r="E1527" s="27"/>
      <c r="F1527" s="27"/>
      <c r="G1527" s="27"/>
      <c r="H1527" s="27"/>
    </row>
    <row r="1528" spans="2:8" ht="15" x14ac:dyDescent="0.25">
      <c r="B1528" s="27"/>
      <c r="C1528" s="27"/>
      <c r="D1528" s="27"/>
      <c r="E1528" s="27"/>
      <c r="F1528" s="27"/>
      <c r="G1528" s="27"/>
      <c r="H1528" s="27"/>
    </row>
    <row r="1529" spans="2:8" ht="15" x14ac:dyDescent="0.25">
      <c r="B1529" s="27"/>
      <c r="C1529" s="27"/>
      <c r="D1529" s="27"/>
      <c r="E1529" s="27"/>
      <c r="F1529" s="27"/>
      <c r="G1529" s="27"/>
      <c r="H1529" s="27"/>
    </row>
    <row r="1530" spans="2:8" ht="15" x14ac:dyDescent="0.25">
      <c r="B1530" s="27"/>
      <c r="C1530" s="27"/>
      <c r="D1530" s="27"/>
      <c r="E1530" s="27"/>
      <c r="F1530" s="27"/>
      <c r="G1530" s="27"/>
      <c r="H1530" s="27"/>
    </row>
    <row r="1531" spans="2:8" ht="15" x14ac:dyDescent="0.25">
      <c r="B1531" s="27"/>
      <c r="C1531" s="27"/>
      <c r="D1531" s="27"/>
      <c r="E1531" s="27"/>
      <c r="F1531" s="27"/>
      <c r="G1531" s="27"/>
      <c r="H1531" s="27"/>
    </row>
    <row r="1532" spans="2:8" ht="15" x14ac:dyDescent="0.25">
      <c r="B1532" s="27"/>
      <c r="C1532" s="27"/>
      <c r="D1532" s="27"/>
      <c r="E1532" s="27"/>
      <c r="F1532" s="27"/>
      <c r="G1532" s="27"/>
      <c r="H1532" s="27"/>
    </row>
    <row r="1533" spans="2:8" ht="15" x14ac:dyDescent="0.25">
      <c r="B1533" s="27"/>
      <c r="C1533" s="27"/>
      <c r="D1533" s="27"/>
      <c r="E1533" s="27"/>
      <c r="F1533" s="27"/>
      <c r="G1533" s="27"/>
      <c r="H1533" s="27"/>
    </row>
    <row r="1534" spans="2:8" ht="15" x14ac:dyDescent="0.25">
      <c r="B1534" s="27"/>
      <c r="C1534" s="27"/>
      <c r="D1534" s="27"/>
      <c r="E1534" s="27"/>
      <c r="F1534" s="27"/>
      <c r="G1534" s="27"/>
      <c r="H1534" s="27"/>
    </row>
    <row r="1535" spans="2:8" ht="15" x14ac:dyDescent="0.25">
      <c r="B1535" s="27"/>
      <c r="C1535" s="27"/>
      <c r="D1535" s="27"/>
      <c r="E1535" s="27"/>
      <c r="F1535" s="27"/>
      <c r="G1535" s="27"/>
      <c r="H1535" s="27"/>
    </row>
    <row r="1536" spans="2:8" ht="15" x14ac:dyDescent="0.25">
      <c r="B1536" s="27"/>
      <c r="C1536" s="27"/>
      <c r="D1536" s="27"/>
      <c r="E1536" s="27"/>
      <c r="F1536" s="27"/>
      <c r="G1536" s="27"/>
      <c r="H1536" s="27"/>
    </row>
    <row r="1537" spans="2:8" ht="15" x14ac:dyDescent="0.25">
      <c r="B1537" s="27"/>
      <c r="C1537" s="27"/>
      <c r="D1537" s="27"/>
      <c r="E1537" s="27"/>
      <c r="F1537" s="27"/>
      <c r="G1537" s="27"/>
      <c r="H1537" s="27"/>
    </row>
    <row r="1538" spans="2:8" ht="15" x14ac:dyDescent="0.25">
      <c r="B1538" s="27"/>
      <c r="C1538" s="27"/>
      <c r="D1538" s="27"/>
      <c r="E1538" s="27"/>
      <c r="F1538" s="27"/>
      <c r="G1538" s="27"/>
      <c r="H1538" s="27"/>
    </row>
    <row r="1539" spans="2:8" ht="15" x14ac:dyDescent="0.25">
      <c r="B1539" s="27"/>
      <c r="C1539" s="27"/>
      <c r="D1539" s="27"/>
      <c r="E1539" s="27"/>
      <c r="F1539" s="27"/>
      <c r="G1539" s="27"/>
      <c r="H1539" s="27"/>
    </row>
    <row r="1540" spans="2:8" ht="15" x14ac:dyDescent="0.25">
      <c r="B1540" s="27"/>
      <c r="C1540" s="27"/>
      <c r="D1540" s="27"/>
      <c r="E1540" s="27"/>
      <c r="F1540" s="27"/>
      <c r="G1540" s="27"/>
      <c r="H1540" s="27"/>
    </row>
    <row r="1541" spans="2:8" ht="15" x14ac:dyDescent="0.25">
      <c r="B1541" s="27"/>
      <c r="C1541" s="27"/>
      <c r="D1541" s="27"/>
      <c r="E1541" s="27"/>
      <c r="F1541" s="27"/>
      <c r="G1541" s="27"/>
      <c r="H1541" s="27"/>
    </row>
    <row r="1542" spans="2:8" ht="15" x14ac:dyDescent="0.25">
      <c r="B1542" s="27"/>
      <c r="C1542" s="27"/>
      <c r="D1542" s="27"/>
      <c r="E1542" s="27"/>
      <c r="F1542" s="27"/>
      <c r="G1542" s="27"/>
      <c r="H1542" s="27"/>
    </row>
    <row r="1543" spans="2:8" ht="15" x14ac:dyDescent="0.25">
      <c r="B1543" s="27"/>
      <c r="C1543" s="27"/>
      <c r="D1543" s="27"/>
      <c r="E1543" s="27"/>
      <c r="F1543" s="27"/>
      <c r="G1543" s="27"/>
      <c r="H1543" s="27"/>
    </row>
    <row r="1544" spans="2:8" ht="15" x14ac:dyDescent="0.25">
      <c r="B1544" s="27"/>
      <c r="C1544" s="27"/>
      <c r="D1544" s="27"/>
      <c r="E1544" s="27"/>
      <c r="F1544" s="27"/>
      <c r="G1544" s="27"/>
      <c r="H1544" s="27"/>
    </row>
    <row r="1545" spans="2:8" ht="15" x14ac:dyDescent="0.25">
      <c r="B1545" s="27"/>
      <c r="C1545" s="27"/>
      <c r="D1545" s="27"/>
      <c r="E1545" s="27"/>
      <c r="F1545" s="27"/>
      <c r="G1545" s="27"/>
      <c r="H1545" s="27"/>
    </row>
    <row r="1546" spans="2:8" ht="15" x14ac:dyDescent="0.25">
      <c r="B1546" s="27"/>
      <c r="C1546" s="27"/>
      <c r="D1546" s="27"/>
      <c r="E1546" s="27"/>
      <c r="F1546" s="27"/>
      <c r="G1546" s="27"/>
      <c r="H1546" s="27"/>
    </row>
    <row r="1547" spans="2:8" ht="15" x14ac:dyDescent="0.25">
      <c r="B1547" s="27"/>
      <c r="C1547" s="27"/>
      <c r="D1547" s="27"/>
      <c r="E1547" s="27"/>
      <c r="F1547" s="27"/>
      <c r="G1547" s="27"/>
      <c r="H1547" s="27"/>
    </row>
    <row r="1548" spans="2:8" ht="15" x14ac:dyDescent="0.25">
      <c r="B1548" s="27"/>
      <c r="C1548" s="27"/>
      <c r="D1548" s="27"/>
      <c r="E1548" s="27"/>
      <c r="F1548" s="27"/>
      <c r="G1548" s="27"/>
      <c r="H1548" s="27"/>
    </row>
    <row r="1549" spans="2:8" ht="15" x14ac:dyDescent="0.25">
      <c r="B1549" s="27"/>
      <c r="C1549" s="27"/>
      <c r="D1549" s="27"/>
      <c r="E1549" s="27"/>
      <c r="F1549" s="27"/>
      <c r="G1549" s="27"/>
      <c r="H1549" s="27"/>
    </row>
    <row r="1550" spans="2:8" ht="15" x14ac:dyDescent="0.25">
      <c r="B1550" s="27"/>
      <c r="C1550" s="27"/>
      <c r="D1550" s="27"/>
      <c r="E1550" s="27"/>
      <c r="F1550" s="27"/>
      <c r="G1550" s="27"/>
      <c r="H1550" s="27"/>
    </row>
    <row r="1551" spans="2:8" ht="15" x14ac:dyDescent="0.25">
      <c r="B1551" s="27"/>
      <c r="C1551" s="27"/>
      <c r="D1551" s="27"/>
      <c r="E1551" s="27"/>
      <c r="F1551" s="27"/>
      <c r="G1551" s="27"/>
      <c r="H1551" s="27"/>
    </row>
    <row r="1552" spans="2:8" ht="15" x14ac:dyDescent="0.25">
      <c r="B1552" s="27"/>
      <c r="C1552" s="27"/>
      <c r="D1552" s="27"/>
      <c r="E1552" s="27"/>
      <c r="F1552" s="27"/>
      <c r="G1552" s="27"/>
      <c r="H1552" s="27"/>
    </row>
    <row r="1553" spans="2:8" ht="15" x14ac:dyDescent="0.25">
      <c r="B1553" s="27"/>
      <c r="C1553" s="27"/>
      <c r="D1553" s="27"/>
      <c r="E1553" s="27"/>
      <c r="F1553" s="27"/>
      <c r="G1553" s="27"/>
      <c r="H1553" s="27"/>
    </row>
    <row r="1554" spans="2:8" ht="15" x14ac:dyDescent="0.25">
      <c r="B1554" s="27"/>
      <c r="C1554" s="27"/>
      <c r="D1554" s="27"/>
      <c r="E1554" s="27"/>
      <c r="F1554" s="27"/>
      <c r="G1554" s="27"/>
      <c r="H1554" s="27"/>
    </row>
    <row r="1555" spans="2:8" ht="15" x14ac:dyDescent="0.25">
      <c r="B1555" s="27"/>
      <c r="C1555" s="27"/>
      <c r="D1555" s="27"/>
      <c r="E1555" s="27"/>
      <c r="F1555" s="27"/>
      <c r="G1555" s="27"/>
      <c r="H1555" s="27"/>
    </row>
    <row r="1556" spans="2:8" ht="15" x14ac:dyDescent="0.25">
      <c r="B1556" s="27"/>
      <c r="C1556" s="27"/>
      <c r="D1556" s="27"/>
      <c r="E1556" s="27"/>
      <c r="F1556" s="27"/>
      <c r="G1556" s="27"/>
      <c r="H1556" s="27"/>
    </row>
    <row r="1557" spans="2:8" ht="15" x14ac:dyDescent="0.25">
      <c r="B1557" s="27"/>
      <c r="C1557" s="27"/>
      <c r="D1557" s="27"/>
      <c r="E1557" s="27"/>
      <c r="F1557" s="27"/>
      <c r="G1557" s="27"/>
      <c r="H1557" s="27"/>
    </row>
    <row r="1558" spans="2:8" ht="15" x14ac:dyDescent="0.25">
      <c r="B1558" s="27"/>
      <c r="C1558" s="27"/>
      <c r="D1558" s="27"/>
      <c r="E1558" s="27"/>
      <c r="F1558" s="27"/>
      <c r="G1558" s="27"/>
      <c r="H1558" s="27"/>
    </row>
    <row r="1559" spans="2:8" ht="15" x14ac:dyDescent="0.25">
      <c r="B1559" s="27"/>
      <c r="C1559" s="27"/>
      <c r="D1559" s="27"/>
      <c r="E1559" s="27"/>
      <c r="F1559" s="27"/>
      <c r="G1559" s="27"/>
      <c r="H1559" s="27"/>
    </row>
    <row r="1560" spans="2:8" ht="15" x14ac:dyDescent="0.25">
      <c r="B1560" s="27"/>
      <c r="C1560" s="27"/>
      <c r="D1560" s="27"/>
      <c r="E1560" s="27"/>
      <c r="F1560" s="27"/>
      <c r="G1560" s="27"/>
      <c r="H1560" s="27"/>
    </row>
    <row r="1561" spans="2:8" ht="15" x14ac:dyDescent="0.25">
      <c r="B1561" s="27"/>
      <c r="C1561" s="27"/>
      <c r="D1561" s="27"/>
      <c r="E1561" s="27"/>
      <c r="F1561" s="27"/>
      <c r="G1561" s="27"/>
      <c r="H1561" s="27"/>
    </row>
    <row r="1562" spans="2:8" ht="15" x14ac:dyDescent="0.25">
      <c r="B1562" s="27"/>
      <c r="C1562" s="27"/>
      <c r="D1562" s="27"/>
      <c r="E1562" s="27"/>
      <c r="F1562" s="27"/>
      <c r="G1562" s="27"/>
      <c r="H1562" s="27"/>
    </row>
    <row r="1563" spans="2:8" ht="15" x14ac:dyDescent="0.25">
      <c r="B1563" s="27"/>
      <c r="C1563" s="27"/>
      <c r="D1563" s="27"/>
      <c r="E1563" s="27"/>
      <c r="F1563" s="27"/>
      <c r="G1563" s="27"/>
      <c r="H1563" s="27"/>
    </row>
    <row r="1564" spans="2:8" ht="15" x14ac:dyDescent="0.25">
      <c r="B1564" s="27"/>
      <c r="C1564" s="27"/>
      <c r="D1564" s="27"/>
      <c r="E1564" s="27"/>
      <c r="F1564" s="27"/>
      <c r="G1564" s="27"/>
      <c r="H1564" s="27"/>
    </row>
    <row r="1565" spans="2:8" ht="15" x14ac:dyDescent="0.25">
      <c r="B1565" s="27"/>
      <c r="C1565" s="27"/>
      <c r="D1565" s="27"/>
      <c r="E1565" s="27"/>
      <c r="F1565" s="27"/>
      <c r="G1565" s="27"/>
      <c r="H1565" s="27"/>
    </row>
    <row r="1566" spans="2:8" ht="15" x14ac:dyDescent="0.25">
      <c r="B1566" s="27"/>
      <c r="C1566" s="27"/>
      <c r="D1566" s="27"/>
      <c r="E1566" s="27"/>
      <c r="F1566" s="27"/>
      <c r="G1566" s="27"/>
      <c r="H1566" s="27"/>
    </row>
    <row r="1567" spans="2:8" ht="15" x14ac:dyDescent="0.25">
      <c r="B1567" s="27"/>
      <c r="C1567" s="27"/>
      <c r="D1567" s="27"/>
      <c r="E1567" s="27"/>
      <c r="F1567" s="27"/>
      <c r="G1567" s="27"/>
      <c r="H1567" s="27"/>
    </row>
    <row r="1568" spans="2:8" ht="15" x14ac:dyDescent="0.25">
      <c r="B1568" s="27"/>
      <c r="C1568" s="27"/>
      <c r="D1568" s="27"/>
      <c r="E1568" s="27"/>
      <c r="F1568" s="27"/>
      <c r="G1568" s="27"/>
      <c r="H1568" s="27"/>
    </row>
    <row r="1569" spans="2:8" ht="15" x14ac:dyDescent="0.25">
      <c r="B1569" s="27"/>
      <c r="C1569" s="27"/>
      <c r="D1569" s="27"/>
      <c r="E1569" s="27"/>
      <c r="F1569" s="27"/>
      <c r="G1569" s="27"/>
      <c r="H1569" s="27"/>
    </row>
    <row r="1570" spans="2:8" ht="15" x14ac:dyDescent="0.25">
      <c r="B1570" s="27"/>
      <c r="C1570" s="27"/>
      <c r="D1570" s="27"/>
      <c r="E1570" s="27"/>
      <c r="F1570" s="27"/>
      <c r="G1570" s="27"/>
      <c r="H1570" s="27"/>
    </row>
    <row r="1571" spans="2:8" ht="15" x14ac:dyDescent="0.25">
      <c r="B1571" s="27"/>
      <c r="C1571" s="27"/>
      <c r="D1571" s="27"/>
      <c r="E1571" s="27"/>
      <c r="F1571" s="27"/>
      <c r="G1571" s="27"/>
      <c r="H1571" s="27"/>
    </row>
    <row r="1572" spans="2:8" ht="15" x14ac:dyDescent="0.25">
      <c r="B1572" s="27"/>
      <c r="C1572" s="27"/>
      <c r="D1572" s="27"/>
      <c r="E1572" s="27"/>
      <c r="F1572" s="27"/>
      <c r="G1572" s="27"/>
      <c r="H1572" s="27"/>
    </row>
    <row r="1573" spans="2:8" ht="15" x14ac:dyDescent="0.25">
      <c r="B1573" s="27"/>
      <c r="C1573" s="27"/>
      <c r="D1573" s="27"/>
      <c r="E1573" s="27"/>
      <c r="F1573" s="27"/>
      <c r="G1573" s="27"/>
      <c r="H1573" s="27"/>
    </row>
    <row r="1574" spans="2:8" ht="15" x14ac:dyDescent="0.25">
      <c r="B1574" s="27"/>
      <c r="C1574" s="27"/>
      <c r="D1574" s="27"/>
      <c r="E1574" s="27"/>
      <c r="F1574" s="27"/>
      <c r="G1574" s="27"/>
      <c r="H1574" s="27"/>
    </row>
    <row r="1575" spans="2:8" ht="15" x14ac:dyDescent="0.25">
      <c r="B1575" s="27"/>
      <c r="C1575" s="27"/>
      <c r="D1575" s="27"/>
      <c r="E1575" s="27"/>
      <c r="F1575" s="27"/>
      <c r="G1575" s="27"/>
      <c r="H1575" s="27"/>
    </row>
    <row r="1576" spans="2:8" ht="15" x14ac:dyDescent="0.25">
      <c r="B1576" s="27"/>
      <c r="C1576" s="27"/>
      <c r="D1576" s="27"/>
      <c r="E1576" s="27"/>
      <c r="F1576" s="27"/>
      <c r="G1576" s="27"/>
      <c r="H1576" s="27"/>
    </row>
    <row r="1577" spans="2:8" ht="15" x14ac:dyDescent="0.25">
      <c r="B1577" s="27"/>
      <c r="C1577" s="27"/>
      <c r="D1577" s="27"/>
      <c r="E1577" s="27"/>
      <c r="F1577" s="27"/>
      <c r="G1577" s="27"/>
      <c r="H1577" s="27"/>
    </row>
    <row r="1578" spans="2:8" ht="15" x14ac:dyDescent="0.25">
      <c r="B1578" s="27"/>
      <c r="C1578" s="27"/>
      <c r="D1578" s="27"/>
      <c r="E1578" s="27"/>
      <c r="F1578" s="27"/>
      <c r="G1578" s="27"/>
      <c r="H1578" s="27"/>
    </row>
    <row r="1579" spans="2:8" ht="15" x14ac:dyDescent="0.25">
      <c r="B1579" s="27"/>
      <c r="C1579" s="27"/>
      <c r="D1579" s="27"/>
      <c r="E1579" s="27"/>
      <c r="F1579" s="27"/>
      <c r="G1579" s="27"/>
      <c r="H1579" s="27"/>
    </row>
    <row r="1580" spans="2:8" ht="15" x14ac:dyDescent="0.25">
      <c r="B1580" s="27"/>
      <c r="C1580" s="27"/>
      <c r="D1580" s="27"/>
      <c r="E1580" s="27"/>
      <c r="F1580" s="27"/>
      <c r="G1580" s="27"/>
      <c r="H1580" s="27"/>
    </row>
    <row r="1581" spans="2:8" ht="15" x14ac:dyDescent="0.25">
      <c r="B1581" s="27"/>
      <c r="C1581" s="27"/>
      <c r="D1581" s="27"/>
      <c r="E1581" s="27"/>
      <c r="F1581" s="27"/>
      <c r="G1581" s="27"/>
      <c r="H1581" s="27"/>
    </row>
    <row r="1582" spans="2:8" ht="15" x14ac:dyDescent="0.25">
      <c r="B1582" s="27"/>
      <c r="C1582" s="27"/>
      <c r="D1582" s="27"/>
      <c r="E1582" s="27"/>
      <c r="F1582" s="27"/>
      <c r="G1582" s="27"/>
      <c r="H1582" s="27"/>
    </row>
    <row r="1583" spans="2:8" ht="15" x14ac:dyDescent="0.25">
      <c r="B1583" s="27"/>
      <c r="C1583" s="27"/>
      <c r="D1583" s="27"/>
      <c r="E1583" s="27"/>
      <c r="F1583" s="27"/>
      <c r="G1583" s="27"/>
      <c r="H1583" s="27"/>
    </row>
    <row r="1584" spans="2:8" ht="15" x14ac:dyDescent="0.25">
      <c r="B1584" s="27"/>
      <c r="C1584" s="27"/>
      <c r="D1584" s="27"/>
      <c r="E1584" s="27"/>
      <c r="F1584" s="27"/>
      <c r="G1584" s="27"/>
      <c r="H1584" s="27"/>
    </row>
    <row r="1585" spans="2:8" ht="15" x14ac:dyDescent="0.25">
      <c r="B1585" s="27"/>
      <c r="C1585" s="27"/>
      <c r="D1585" s="27"/>
      <c r="E1585" s="27"/>
      <c r="F1585" s="27"/>
      <c r="G1585" s="27"/>
      <c r="H1585" s="27"/>
    </row>
    <row r="1586" spans="2:8" ht="15" x14ac:dyDescent="0.25">
      <c r="B1586" s="27"/>
      <c r="C1586" s="27"/>
      <c r="D1586" s="27"/>
      <c r="E1586" s="27"/>
      <c r="F1586" s="27"/>
      <c r="G1586" s="27"/>
      <c r="H1586" s="27"/>
    </row>
    <row r="1587" spans="2:8" ht="15" x14ac:dyDescent="0.25">
      <c r="B1587" s="27"/>
      <c r="C1587" s="27"/>
      <c r="D1587" s="27"/>
      <c r="E1587" s="27"/>
      <c r="F1587" s="27"/>
      <c r="G1587" s="27"/>
      <c r="H1587" s="27"/>
    </row>
    <row r="1588" spans="2:8" ht="15" x14ac:dyDescent="0.25">
      <c r="B1588" s="27"/>
      <c r="C1588" s="27"/>
      <c r="D1588" s="27"/>
      <c r="E1588" s="27"/>
      <c r="F1588" s="27"/>
      <c r="G1588" s="27"/>
      <c r="H1588" s="27"/>
    </row>
    <row r="1589" spans="2:8" ht="15" x14ac:dyDescent="0.25">
      <c r="B1589" s="27"/>
      <c r="C1589" s="27"/>
      <c r="D1589" s="27"/>
      <c r="E1589" s="27"/>
      <c r="F1589" s="27"/>
      <c r="G1589" s="27"/>
      <c r="H1589" s="27"/>
    </row>
    <row r="1590" spans="2:8" ht="15" x14ac:dyDescent="0.25">
      <c r="B1590" s="27"/>
      <c r="C1590" s="27"/>
      <c r="D1590" s="27"/>
      <c r="E1590" s="27"/>
      <c r="F1590" s="27"/>
      <c r="G1590" s="27"/>
      <c r="H1590" s="27"/>
    </row>
    <row r="1591" spans="2:8" ht="15" x14ac:dyDescent="0.25">
      <c r="B1591" s="27"/>
      <c r="C1591" s="27"/>
      <c r="D1591" s="27"/>
      <c r="E1591" s="27"/>
      <c r="F1591" s="27"/>
      <c r="G1591" s="27"/>
      <c r="H1591" s="27"/>
    </row>
    <row r="1592" spans="2:8" ht="15" x14ac:dyDescent="0.25">
      <c r="B1592" s="27"/>
      <c r="C1592" s="27"/>
      <c r="D1592" s="27"/>
      <c r="E1592" s="27"/>
      <c r="F1592" s="27"/>
      <c r="G1592" s="27"/>
      <c r="H1592" s="27"/>
    </row>
    <row r="1593" spans="2:8" ht="15" x14ac:dyDescent="0.25">
      <c r="B1593" s="27"/>
      <c r="C1593" s="27"/>
      <c r="D1593" s="27"/>
      <c r="E1593" s="27"/>
      <c r="F1593" s="27"/>
      <c r="G1593" s="27"/>
      <c r="H1593" s="27"/>
    </row>
    <row r="1594" spans="2:8" ht="15" x14ac:dyDescent="0.25">
      <c r="B1594" s="27"/>
      <c r="C1594" s="27"/>
      <c r="D1594" s="27"/>
      <c r="E1594" s="27"/>
      <c r="F1594" s="27"/>
      <c r="G1594" s="27"/>
      <c r="H1594" s="27"/>
    </row>
    <row r="1595" spans="2:8" ht="15" x14ac:dyDescent="0.25">
      <c r="B1595" s="27"/>
      <c r="C1595" s="27"/>
      <c r="D1595" s="27"/>
      <c r="E1595" s="27"/>
      <c r="F1595" s="27"/>
      <c r="G1595" s="27"/>
      <c r="H1595" s="27"/>
    </row>
    <row r="1596" spans="2:8" ht="15" x14ac:dyDescent="0.25">
      <c r="B1596" s="27"/>
      <c r="C1596" s="27"/>
      <c r="D1596" s="27"/>
      <c r="E1596" s="27"/>
      <c r="F1596" s="27"/>
      <c r="G1596" s="27"/>
      <c r="H1596" s="27"/>
    </row>
    <row r="1597" spans="2:8" ht="15" x14ac:dyDescent="0.25">
      <c r="B1597" s="27"/>
      <c r="C1597" s="27"/>
      <c r="D1597" s="27"/>
      <c r="E1597" s="27"/>
      <c r="F1597" s="27"/>
      <c r="G1597" s="27"/>
      <c r="H1597" s="27"/>
    </row>
    <row r="1598" spans="2:8" ht="15" x14ac:dyDescent="0.25">
      <c r="B1598" s="27"/>
      <c r="C1598" s="27"/>
      <c r="D1598" s="27"/>
      <c r="E1598" s="27"/>
      <c r="F1598" s="27"/>
      <c r="G1598" s="27"/>
      <c r="H1598" s="27"/>
    </row>
    <row r="1599" spans="2:8" ht="15" x14ac:dyDescent="0.25">
      <c r="B1599" s="27"/>
      <c r="C1599" s="27"/>
      <c r="D1599" s="27"/>
      <c r="E1599" s="27"/>
      <c r="F1599" s="27"/>
      <c r="G1599" s="27"/>
      <c r="H1599" s="27"/>
    </row>
    <row r="1600" spans="2:8" ht="15" x14ac:dyDescent="0.25">
      <c r="B1600" s="27"/>
      <c r="C1600" s="27"/>
      <c r="D1600" s="27"/>
      <c r="E1600" s="27"/>
      <c r="F1600" s="27"/>
      <c r="G1600" s="27"/>
      <c r="H1600" s="27"/>
    </row>
    <row r="1601" spans="2:8" ht="15" x14ac:dyDescent="0.25">
      <c r="B1601" s="27"/>
      <c r="C1601" s="27"/>
      <c r="D1601" s="27"/>
      <c r="E1601" s="27"/>
      <c r="F1601" s="27"/>
      <c r="G1601" s="27"/>
      <c r="H1601" s="27"/>
    </row>
    <row r="1602" spans="2:8" ht="15" x14ac:dyDescent="0.25">
      <c r="B1602" s="27"/>
      <c r="C1602" s="27"/>
      <c r="D1602" s="27"/>
      <c r="E1602" s="27"/>
      <c r="F1602" s="27"/>
      <c r="G1602" s="27"/>
      <c r="H1602" s="27"/>
    </row>
    <row r="1603" spans="2:8" ht="15" x14ac:dyDescent="0.25">
      <c r="B1603" s="27"/>
      <c r="C1603" s="27"/>
      <c r="D1603" s="27"/>
      <c r="E1603" s="27"/>
      <c r="F1603" s="27"/>
      <c r="G1603" s="27"/>
      <c r="H1603" s="27"/>
    </row>
    <row r="1604" spans="2:8" ht="15" x14ac:dyDescent="0.25">
      <c r="B1604" s="27"/>
      <c r="C1604" s="27"/>
      <c r="D1604" s="27"/>
      <c r="E1604" s="27"/>
      <c r="F1604" s="27"/>
      <c r="G1604" s="27"/>
      <c r="H1604" s="27"/>
    </row>
    <row r="1605" spans="2:8" ht="15" x14ac:dyDescent="0.25">
      <c r="B1605" s="27"/>
      <c r="C1605" s="27"/>
      <c r="D1605" s="27"/>
      <c r="E1605" s="27"/>
      <c r="F1605" s="27"/>
      <c r="G1605" s="27"/>
      <c r="H1605" s="27"/>
    </row>
    <row r="1606" spans="2:8" ht="15" x14ac:dyDescent="0.25">
      <c r="B1606" s="27"/>
      <c r="C1606" s="27"/>
      <c r="D1606" s="27"/>
      <c r="E1606" s="27"/>
      <c r="F1606" s="27"/>
      <c r="G1606" s="27"/>
      <c r="H1606" s="27"/>
    </row>
    <row r="1607" spans="2:8" ht="15" x14ac:dyDescent="0.25">
      <c r="B1607" s="27"/>
      <c r="C1607" s="27"/>
      <c r="D1607" s="27"/>
      <c r="E1607" s="27"/>
      <c r="F1607" s="27"/>
      <c r="G1607" s="27"/>
      <c r="H1607" s="27"/>
    </row>
    <row r="1608" spans="2:8" ht="15" x14ac:dyDescent="0.25">
      <c r="B1608" s="27"/>
      <c r="C1608" s="27"/>
      <c r="D1608" s="27"/>
      <c r="E1608" s="27"/>
      <c r="F1608" s="27"/>
      <c r="G1608" s="27"/>
      <c r="H1608" s="27"/>
    </row>
    <row r="1609" spans="2:8" ht="15" x14ac:dyDescent="0.25">
      <c r="B1609" s="27"/>
      <c r="C1609" s="27"/>
      <c r="D1609" s="27"/>
      <c r="E1609" s="27"/>
      <c r="F1609" s="27"/>
      <c r="G1609" s="27"/>
      <c r="H1609" s="27"/>
    </row>
    <row r="1610" spans="2:8" ht="15" x14ac:dyDescent="0.25">
      <c r="B1610" s="27"/>
      <c r="C1610" s="27"/>
      <c r="D1610" s="27"/>
      <c r="E1610" s="27"/>
      <c r="F1610" s="27"/>
      <c r="G1610" s="27"/>
      <c r="H1610" s="27"/>
    </row>
    <row r="1611" spans="2:8" ht="15" x14ac:dyDescent="0.25">
      <c r="B1611" s="27"/>
      <c r="C1611" s="27"/>
      <c r="D1611" s="27"/>
      <c r="E1611" s="27"/>
      <c r="F1611" s="27"/>
      <c r="G1611" s="27"/>
      <c r="H1611" s="27"/>
    </row>
    <row r="1612" spans="2:8" ht="15" x14ac:dyDescent="0.25">
      <c r="B1612" s="27"/>
      <c r="C1612" s="27"/>
      <c r="D1612" s="27"/>
      <c r="E1612" s="27"/>
      <c r="F1612" s="27"/>
      <c r="G1612" s="27"/>
      <c r="H1612" s="27"/>
    </row>
    <row r="1613" spans="2:8" ht="15" x14ac:dyDescent="0.25">
      <c r="B1613" s="27"/>
      <c r="C1613" s="27"/>
      <c r="D1613" s="27"/>
      <c r="E1613" s="27"/>
      <c r="F1613" s="27"/>
      <c r="G1613" s="27"/>
      <c r="H1613" s="27"/>
    </row>
    <row r="1614" spans="2:8" ht="15" x14ac:dyDescent="0.25">
      <c r="B1614" s="27"/>
      <c r="C1614" s="27"/>
      <c r="D1614" s="27"/>
      <c r="E1614" s="27"/>
      <c r="F1614" s="27"/>
      <c r="G1614" s="27"/>
      <c r="H1614" s="27"/>
    </row>
    <row r="1615" spans="2:8" ht="15" x14ac:dyDescent="0.25">
      <c r="B1615" s="27"/>
      <c r="C1615" s="27"/>
      <c r="D1615" s="27"/>
      <c r="E1615" s="27"/>
      <c r="F1615" s="27"/>
      <c r="G1615" s="27"/>
      <c r="H1615" s="27"/>
    </row>
    <row r="1616" spans="2:8" ht="15" x14ac:dyDescent="0.25">
      <c r="B1616" s="27"/>
      <c r="C1616" s="27"/>
      <c r="D1616" s="27"/>
      <c r="E1616" s="27"/>
      <c r="F1616" s="27"/>
      <c r="G1616" s="27"/>
      <c r="H1616" s="27"/>
    </row>
    <row r="1617" spans="2:8" ht="15" x14ac:dyDescent="0.25">
      <c r="B1617" s="27"/>
      <c r="C1617" s="27"/>
      <c r="D1617" s="27"/>
      <c r="E1617" s="27"/>
      <c r="F1617" s="27"/>
      <c r="G1617" s="27"/>
      <c r="H1617" s="27"/>
    </row>
    <row r="1618" spans="2:8" ht="15" x14ac:dyDescent="0.25">
      <c r="B1618" s="27"/>
      <c r="C1618" s="27"/>
      <c r="D1618" s="27"/>
      <c r="E1618" s="27"/>
      <c r="F1618" s="27"/>
      <c r="G1618" s="27"/>
      <c r="H1618" s="27"/>
    </row>
    <row r="1619" spans="2:8" ht="15" x14ac:dyDescent="0.25">
      <c r="B1619" s="27"/>
      <c r="C1619" s="27"/>
      <c r="D1619" s="27"/>
      <c r="E1619" s="27"/>
      <c r="F1619" s="27"/>
      <c r="G1619" s="27"/>
      <c r="H1619" s="27"/>
    </row>
    <row r="1620" spans="2:8" ht="15" x14ac:dyDescent="0.25">
      <c r="B1620" s="27"/>
      <c r="C1620" s="27"/>
      <c r="D1620" s="27"/>
      <c r="E1620" s="27"/>
      <c r="F1620" s="27"/>
      <c r="G1620" s="27"/>
      <c r="H1620" s="27"/>
    </row>
    <row r="1621" spans="2:8" ht="15" x14ac:dyDescent="0.25">
      <c r="B1621" s="27"/>
      <c r="C1621" s="27"/>
      <c r="D1621" s="27"/>
      <c r="E1621" s="27"/>
      <c r="F1621" s="27"/>
      <c r="G1621" s="27"/>
      <c r="H1621" s="27"/>
    </row>
    <row r="1622" spans="2:8" ht="15" x14ac:dyDescent="0.25">
      <c r="B1622" s="27"/>
      <c r="C1622" s="27"/>
      <c r="D1622" s="27"/>
      <c r="E1622" s="27"/>
      <c r="F1622" s="27"/>
      <c r="G1622" s="27"/>
      <c r="H1622" s="27"/>
    </row>
    <row r="1623" spans="2:8" ht="15" x14ac:dyDescent="0.25">
      <c r="B1623" s="27"/>
      <c r="C1623" s="27"/>
      <c r="D1623" s="27"/>
      <c r="E1623" s="27"/>
      <c r="F1623" s="27"/>
      <c r="G1623" s="27"/>
      <c r="H1623" s="27"/>
    </row>
    <row r="1624" spans="2:8" ht="15" x14ac:dyDescent="0.25">
      <c r="B1624" s="27"/>
      <c r="C1624" s="27"/>
      <c r="D1624" s="27"/>
      <c r="E1624" s="27"/>
      <c r="F1624" s="27"/>
      <c r="G1624" s="27"/>
      <c r="H1624" s="27"/>
    </row>
    <row r="1625" spans="2:8" ht="15" x14ac:dyDescent="0.25">
      <c r="B1625" s="27"/>
      <c r="C1625" s="27"/>
      <c r="D1625" s="27"/>
      <c r="E1625" s="27"/>
      <c r="F1625" s="27"/>
      <c r="G1625" s="27"/>
      <c r="H1625" s="27"/>
    </row>
    <row r="1626" spans="2:8" ht="15" x14ac:dyDescent="0.25">
      <c r="B1626" s="27"/>
      <c r="C1626" s="27"/>
      <c r="D1626" s="27"/>
      <c r="E1626" s="27"/>
      <c r="F1626" s="27"/>
      <c r="G1626" s="27"/>
      <c r="H1626" s="27"/>
    </row>
    <row r="1627" spans="2:8" ht="15" x14ac:dyDescent="0.25">
      <c r="B1627" s="27"/>
      <c r="C1627" s="27"/>
      <c r="D1627" s="27"/>
      <c r="E1627" s="27"/>
      <c r="F1627" s="27"/>
      <c r="G1627" s="27"/>
      <c r="H1627" s="27"/>
    </row>
    <row r="1628" spans="2:8" ht="15" x14ac:dyDescent="0.25">
      <c r="B1628" s="27"/>
      <c r="C1628" s="27"/>
      <c r="D1628" s="27"/>
      <c r="E1628" s="27"/>
      <c r="F1628" s="27"/>
      <c r="G1628" s="27"/>
      <c r="H1628" s="27"/>
    </row>
    <row r="1629" spans="2:8" ht="15" x14ac:dyDescent="0.25">
      <c r="B1629" s="27"/>
      <c r="C1629" s="27"/>
      <c r="D1629" s="27"/>
      <c r="E1629" s="27"/>
      <c r="F1629" s="27"/>
      <c r="G1629" s="27"/>
      <c r="H1629" s="27"/>
    </row>
    <row r="1630" spans="2:8" ht="15" x14ac:dyDescent="0.25">
      <c r="B1630" s="27"/>
      <c r="C1630" s="27"/>
      <c r="D1630" s="27"/>
      <c r="E1630" s="27"/>
      <c r="F1630" s="27"/>
      <c r="G1630" s="27"/>
      <c r="H1630" s="27"/>
    </row>
    <row r="1631" spans="2:8" ht="15" x14ac:dyDescent="0.25">
      <c r="B1631" s="27"/>
      <c r="C1631" s="27"/>
      <c r="D1631" s="27"/>
      <c r="E1631" s="27"/>
      <c r="F1631" s="27"/>
      <c r="G1631" s="27"/>
      <c r="H1631" s="27"/>
    </row>
    <row r="1632" spans="2:8" ht="15" x14ac:dyDescent="0.25">
      <c r="B1632" s="27"/>
      <c r="C1632" s="27"/>
      <c r="D1632" s="27"/>
      <c r="E1632" s="27"/>
      <c r="F1632" s="27"/>
      <c r="G1632" s="27"/>
      <c r="H1632" s="27"/>
    </row>
    <row r="1633" spans="2:8" ht="15" x14ac:dyDescent="0.25">
      <c r="B1633" s="27"/>
      <c r="C1633" s="27"/>
      <c r="D1633" s="27"/>
      <c r="E1633" s="27"/>
      <c r="F1633" s="27"/>
      <c r="G1633" s="27"/>
      <c r="H1633" s="27"/>
    </row>
    <row r="1634" spans="2:8" ht="15" x14ac:dyDescent="0.25">
      <c r="B1634" s="27"/>
      <c r="C1634" s="27"/>
      <c r="D1634" s="27"/>
      <c r="E1634" s="27"/>
      <c r="F1634" s="27"/>
      <c r="G1634" s="27"/>
      <c r="H1634" s="27"/>
    </row>
    <row r="1635" spans="2:8" ht="15" x14ac:dyDescent="0.25">
      <c r="B1635" s="27"/>
      <c r="C1635" s="27"/>
      <c r="D1635" s="27"/>
      <c r="E1635" s="27"/>
      <c r="F1635" s="27"/>
      <c r="G1635" s="27"/>
      <c r="H1635" s="27"/>
    </row>
    <row r="1636" spans="2:8" ht="15" x14ac:dyDescent="0.25">
      <c r="B1636" s="27"/>
      <c r="C1636" s="27"/>
      <c r="D1636" s="27"/>
      <c r="E1636" s="27"/>
      <c r="F1636" s="27"/>
      <c r="G1636" s="27"/>
      <c r="H1636" s="27"/>
    </row>
    <row r="1637" spans="2:8" ht="15" x14ac:dyDescent="0.25">
      <c r="B1637" s="27"/>
      <c r="C1637" s="27"/>
      <c r="D1637" s="27"/>
      <c r="E1637" s="27"/>
      <c r="F1637" s="27"/>
      <c r="G1637" s="27"/>
      <c r="H1637" s="27"/>
    </row>
    <row r="1638" spans="2:8" ht="15" x14ac:dyDescent="0.25">
      <c r="B1638" s="27"/>
      <c r="C1638" s="27"/>
      <c r="D1638" s="27"/>
      <c r="E1638" s="27"/>
      <c r="F1638" s="27"/>
      <c r="G1638" s="27"/>
      <c r="H1638" s="27"/>
    </row>
    <row r="1639" spans="2:8" ht="15" x14ac:dyDescent="0.25">
      <c r="B1639" s="27"/>
      <c r="C1639" s="27"/>
      <c r="D1639" s="27"/>
      <c r="E1639" s="27"/>
      <c r="F1639" s="27"/>
      <c r="G1639" s="27"/>
      <c r="H1639" s="27"/>
    </row>
    <row r="1640" spans="2:8" ht="15" x14ac:dyDescent="0.25">
      <c r="B1640" s="27"/>
      <c r="C1640" s="27"/>
      <c r="D1640" s="27"/>
      <c r="E1640" s="27"/>
      <c r="F1640" s="27"/>
      <c r="G1640" s="27"/>
      <c r="H1640" s="27"/>
    </row>
    <row r="1641" spans="2:8" ht="15" x14ac:dyDescent="0.25">
      <c r="B1641" s="27"/>
      <c r="C1641" s="27"/>
      <c r="D1641" s="27"/>
      <c r="E1641" s="27"/>
      <c r="F1641" s="27"/>
      <c r="G1641" s="27"/>
      <c r="H1641" s="27"/>
    </row>
    <row r="1642" spans="2:8" ht="15" x14ac:dyDescent="0.25">
      <c r="B1642" s="27"/>
      <c r="C1642" s="27"/>
      <c r="D1642" s="27"/>
      <c r="E1642" s="27"/>
      <c r="F1642" s="27"/>
      <c r="G1642" s="27"/>
      <c r="H1642" s="27"/>
    </row>
    <row r="1643" spans="2:8" ht="15" x14ac:dyDescent="0.25">
      <c r="B1643" s="27"/>
      <c r="C1643" s="27"/>
      <c r="D1643" s="27"/>
      <c r="E1643" s="27"/>
      <c r="F1643" s="27"/>
      <c r="G1643" s="27"/>
      <c r="H1643" s="27"/>
    </row>
    <row r="1644" spans="2:8" ht="15" x14ac:dyDescent="0.25">
      <c r="B1644" s="27"/>
      <c r="C1644" s="27"/>
      <c r="D1644" s="27"/>
      <c r="E1644" s="27"/>
      <c r="F1644" s="27"/>
      <c r="G1644" s="27"/>
      <c r="H1644" s="27"/>
    </row>
    <row r="1645" spans="2:8" ht="15" x14ac:dyDescent="0.25">
      <c r="B1645" s="27"/>
      <c r="C1645" s="27"/>
      <c r="D1645" s="27"/>
      <c r="E1645" s="27"/>
      <c r="F1645" s="27"/>
      <c r="G1645" s="27"/>
      <c r="H1645" s="27"/>
    </row>
    <row r="1646" spans="2:8" ht="15" x14ac:dyDescent="0.25">
      <c r="B1646" s="27"/>
      <c r="C1646" s="27"/>
      <c r="D1646" s="27"/>
      <c r="E1646" s="27"/>
      <c r="F1646" s="27"/>
      <c r="G1646" s="27"/>
      <c r="H1646" s="27"/>
    </row>
    <row r="1647" spans="2:8" ht="15" x14ac:dyDescent="0.25">
      <c r="B1647" s="27"/>
      <c r="C1647" s="27"/>
      <c r="D1647" s="27"/>
      <c r="E1647" s="27"/>
      <c r="F1647" s="27"/>
      <c r="G1647" s="27"/>
      <c r="H1647" s="27"/>
    </row>
    <row r="1648" spans="2:8" ht="15" x14ac:dyDescent="0.25">
      <c r="B1648" s="27"/>
      <c r="C1648" s="27"/>
      <c r="D1648" s="27"/>
      <c r="E1648" s="27"/>
      <c r="F1648" s="27"/>
      <c r="G1648" s="27"/>
      <c r="H1648" s="27"/>
    </row>
    <row r="1649" spans="2:8" ht="15" x14ac:dyDescent="0.25">
      <c r="B1649" s="27"/>
      <c r="C1649" s="27"/>
      <c r="D1649" s="27"/>
      <c r="E1649" s="27"/>
      <c r="F1649" s="27"/>
      <c r="G1649" s="27"/>
      <c r="H1649" s="27"/>
    </row>
    <row r="1650" spans="2:8" ht="15" x14ac:dyDescent="0.25">
      <c r="B1650" s="27"/>
      <c r="C1650" s="27"/>
      <c r="D1650" s="27"/>
      <c r="E1650" s="27"/>
      <c r="F1650" s="27"/>
      <c r="G1650" s="27"/>
      <c r="H1650" s="27"/>
    </row>
    <row r="1651" spans="2:8" ht="15" x14ac:dyDescent="0.25">
      <c r="B1651" s="27"/>
      <c r="C1651" s="27"/>
      <c r="D1651" s="27"/>
      <c r="E1651" s="27"/>
      <c r="F1651" s="27"/>
      <c r="G1651" s="27"/>
      <c r="H1651" s="27"/>
    </row>
    <row r="1652" spans="2:8" ht="15" x14ac:dyDescent="0.25">
      <c r="B1652" s="27"/>
      <c r="C1652" s="27"/>
      <c r="D1652" s="27"/>
      <c r="E1652" s="27"/>
      <c r="F1652" s="27"/>
      <c r="G1652" s="27"/>
      <c r="H1652" s="27"/>
    </row>
    <row r="1653" spans="2:8" ht="15" x14ac:dyDescent="0.25">
      <c r="B1653" s="27"/>
      <c r="C1653" s="27"/>
      <c r="D1653" s="27"/>
      <c r="E1653" s="27"/>
      <c r="F1653" s="27"/>
      <c r="G1653" s="27"/>
      <c r="H1653" s="27"/>
    </row>
    <row r="1654" spans="2:8" ht="15" x14ac:dyDescent="0.25">
      <c r="B1654" s="27"/>
      <c r="C1654" s="27"/>
      <c r="D1654" s="27"/>
      <c r="E1654" s="27"/>
      <c r="F1654" s="27"/>
      <c r="G1654" s="27"/>
      <c r="H1654" s="27"/>
    </row>
    <row r="1655" spans="2:8" ht="15" x14ac:dyDescent="0.25">
      <c r="B1655" s="27"/>
      <c r="C1655" s="27"/>
      <c r="D1655" s="27"/>
      <c r="E1655" s="27"/>
      <c r="F1655" s="27"/>
      <c r="G1655" s="27"/>
      <c r="H1655" s="27"/>
    </row>
    <row r="1656" spans="2:8" ht="15" x14ac:dyDescent="0.25">
      <c r="B1656" s="27"/>
      <c r="C1656" s="27"/>
      <c r="D1656" s="27"/>
      <c r="E1656" s="27"/>
      <c r="F1656" s="27"/>
      <c r="G1656" s="27"/>
      <c r="H1656" s="27"/>
    </row>
    <row r="1657" spans="2:8" ht="15" x14ac:dyDescent="0.25">
      <c r="B1657" s="27"/>
      <c r="C1657" s="27"/>
      <c r="D1657" s="27"/>
      <c r="E1657" s="27"/>
      <c r="F1657" s="27"/>
      <c r="G1657" s="27"/>
      <c r="H1657" s="27"/>
    </row>
    <row r="1658" spans="2:8" ht="15" x14ac:dyDescent="0.25">
      <c r="B1658" s="27"/>
      <c r="C1658" s="27"/>
      <c r="D1658" s="27"/>
      <c r="E1658" s="27"/>
      <c r="F1658" s="27"/>
      <c r="G1658" s="27"/>
      <c r="H1658" s="27"/>
    </row>
    <row r="1659" spans="2:8" ht="15" x14ac:dyDescent="0.25">
      <c r="B1659" s="27"/>
      <c r="C1659" s="27"/>
      <c r="D1659" s="27"/>
      <c r="E1659" s="27"/>
      <c r="F1659" s="27"/>
      <c r="G1659" s="27"/>
      <c r="H1659" s="27"/>
    </row>
    <row r="1660" spans="2:8" ht="15" x14ac:dyDescent="0.25">
      <c r="B1660" s="27"/>
      <c r="C1660" s="27"/>
      <c r="D1660" s="27"/>
      <c r="E1660" s="27"/>
      <c r="F1660" s="27"/>
      <c r="G1660" s="27"/>
      <c r="H1660" s="27"/>
    </row>
    <row r="1661" spans="2:8" ht="15" x14ac:dyDescent="0.25">
      <c r="B1661" s="27"/>
      <c r="C1661" s="27"/>
      <c r="D1661" s="27"/>
      <c r="E1661" s="27"/>
      <c r="F1661" s="27"/>
      <c r="G1661" s="27"/>
      <c r="H1661" s="27"/>
    </row>
    <row r="1662" spans="2:8" ht="15" x14ac:dyDescent="0.25">
      <c r="B1662" s="27"/>
      <c r="C1662" s="27"/>
      <c r="D1662" s="27"/>
      <c r="E1662" s="27"/>
      <c r="F1662" s="27"/>
      <c r="G1662" s="27"/>
      <c r="H1662" s="27"/>
    </row>
    <row r="1663" spans="2:8" ht="15" x14ac:dyDescent="0.25">
      <c r="B1663" s="27"/>
      <c r="C1663" s="27"/>
      <c r="D1663" s="27"/>
      <c r="E1663" s="27"/>
      <c r="F1663" s="27"/>
      <c r="G1663" s="27"/>
      <c r="H1663" s="27"/>
    </row>
    <row r="1664" spans="2:8" ht="15" x14ac:dyDescent="0.25">
      <c r="B1664" s="27"/>
      <c r="C1664" s="27"/>
      <c r="D1664" s="27"/>
      <c r="E1664" s="27"/>
      <c r="F1664" s="27"/>
      <c r="G1664" s="27"/>
      <c r="H1664" s="27"/>
    </row>
    <row r="1665" spans="2:8" ht="15" x14ac:dyDescent="0.25">
      <c r="B1665" s="27"/>
      <c r="C1665" s="27"/>
      <c r="D1665" s="27"/>
      <c r="E1665" s="27"/>
      <c r="F1665" s="27"/>
      <c r="G1665" s="27"/>
      <c r="H1665" s="27"/>
    </row>
    <row r="1666" spans="2:8" ht="15" x14ac:dyDescent="0.25">
      <c r="B1666" s="27"/>
      <c r="C1666" s="27"/>
      <c r="D1666" s="27"/>
      <c r="E1666" s="27"/>
      <c r="F1666" s="27"/>
      <c r="G1666" s="27"/>
      <c r="H1666" s="27"/>
    </row>
    <row r="1667" spans="2:8" ht="15" x14ac:dyDescent="0.25">
      <c r="B1667" s="27"/>
      <c r="C1667" s="27"/>
      <c r="D1667" s="27"/>
      <c r="E1667" s="27"/>
      <c r="F1667" s="27"/>
      <c r="G1667" s="27"/>
      <c r="H1667" s="27"/>
    </row>
    <row r="1668" spans="2:8" ht="15" x14ac:dyDescent="0.25">
      <c r="B1668" s="27"/>
      <c r="C1668" s="27"/>
      <c r="D1668" s="27"/>
      <c r="E1668" s="27"/>
      <c r="F1668" s="27"/>
      <c r="G1668" s="27"/>
      <c r="H1668" s="27"/>
    </row>
    <row r="1669" spans="2:8" ht="15" x14ac:dyDescent="0.25">
      <c r="B1669" s="27"/>
      <c r="C1669" s="27"/>
      <c r="D1669" s="27"/>
      <c r="E1669" s="27"/>
      <c r="F1669" s="27"/>
      <c r="G1669" s="27"/>
      <c r="H1669" s="27"/>
    </row>
    <row r="1670" spans="2:8" ht="15" x14ac:dyDescent="0.25">
      <c r="B1670" s="27"/>
      <c r="C1670" s="27"/>
      <c r="D1670" s="27"/>
      <c r="E1670" s="27"/>
      <c r="F1670" s="27"/>
      <c r="G1670" s="27"/>
      <c r="H1670" s="27"/>
    </row>
    <row r="1671" spans="2:8" ht="15" x14ac:dyDescent="0.25">
      <c r="B1671" s="27"/>
      <c r="C1671" s="27"/>
      <c r="D1671" s="27"/>
      <c r="E1671" s="27"/>
      <c r="F1671" s="27"/>
      <c r="G1671" s="27"/>
      <c r="H1671" s="27"/>
    </row>
    <row r="1672" spans="2:8" ht="15" x14ac:dyDescent="0.25">
      <c r="B1672" s="27"/>
      <c r="C1672" s="27"/>
      <c r="D1672" s="27"/>
      <c r="E1672" s="27"/>
      <c r="F1672" s="27"/>
      <c r="G1672" s="27"/>
      <c r="H1672" s="27"/>
    </row>
    <row r="1673" spans="2:8" ht="15" x14ac:dyDescent="0.25">
      <c r="B1673" s="27"/>
      <c r="C1673" s="27"/>
      <c r="D1673" s="27"/>
      <c r="E1673" s="27"/>
      <c r="F1673" s="27"/>
      <c r="G1673" s="27"/>
      <c r="H1673" s="27"/>
    </row>
    <row r="1674" spans="2:8" ht="15" x14ac:dyDescent="0.25">
      <c r="B1674" s="27"/>
      <c r="C1674" s="27"/>
      <c r="D1674" s="27"/>
      <c r="E1674" s="27"/>
      <c r="F1674" s="27"/>
      <c r="G1674" s="27"/>
      <c r="H1674" s="27"/>
    </row>
    <row r="1675" spans="2:8" ht="15" x14ac:dyDescent="0.25">
      <c r="B1675" s="27"/>
      <c r="C1675" s="27"/>
      <c r="D1675" s="27"/>
      <c r="E1675" s="27"/>
      <c r="F1675" s="27"/>
      <c r="G1675" s="27"/>
      <c r="H1675" s="27"/>
    </row>
    <row r="1676" spans="2:8" ht="15" x14ac:dyDescent="0.25">
      <c r="B1676" s="27"/>
      <c r="C1676" s="27"/>
      <c r="D1676" s="27"/>
      <c r="E1676" s="27"/>
      <c r="F1676" s="27"/>
      <c r="G1676" s="27"/>
      <c r="H1676" s="27"/>
    </row>
    <row r="1677" spans="2:8" ht="15" x14ac:dyDescent="0.25">
      <c r="B1677" s="27"/>
      <c r="C1677" s="27"/>
      <c r="D1677" s="27"/>
      <c r="E1677" s="27"/>
      <c r="F1677" s="27"/>
      <c r="G1677" s="27"/>
      <c r="H1677" s="27"/>
    </row>
    <row r="1678" spans="2:8" ht="15" x14ac:dyDescent="0.25">
      <c r="B1678" s="27"/>
      <c r="C1678" s="27"/>
      <c r="D1678" s="27"/>
      <c r="E1678" s="27"/>
      <c r="F1678" s="27"/>
      <c r="G1678" s="27"/>
      <c r="H1678" s="27"/>
    </row>
    <row r="1679" spans="2:8" ht="15" x14ac:dyDescent="0.25">
      <c r="B1679" s="27"/>
      <c r="C1679" s="27"/>
      <c r="D1679" s="27"/>
      <c r="E1679" s="27"/>
      <c r="F1679" s="27"/>
      <c r="G1679" s="27"/>
      <c r="H1679" s="27"/>
    </row>
    <row r="1680" spans="2:8" ht="15" x14ac:dyDescent="0.25">
      <c r="B1680" s="27"/>
      <c r="C1680" s="27"/>
      <c r="D1680" s="27"/>
      <c r="E1680" s="27"/>
      <c r="F1680" s="27"/>
      <c r="G1680" s="27"/>
      <c r="H1680" s="27"/>
    </row>
    <row r="1681" spans="2:8" ht="15" x14ac:dyDescent="0.25">
      <c r="B1681" s="27"/>
      <c r="C1681" s="27"/>
      <c r="D1681" s="27"/>
      <c r="E1681" s="27"/>
      <c r="F1681" s="27"/>
      <c r="G1681" s="27"/>
      <c r="H1681" s="27"/>
    </row>
    <row r="1682" spans="2:8" ht="15" x14ac:dyDescent="0.25">
      <c r="B1682" s="27"/>
      <c r="C1682" s="27"/>
      <c r="D1682" s="27"/>
      <c r="E1682" s="27"/>
      <c r="F1682" s="27"/>
      <c r="G1682" s="27"/>
      <c r="H1682" s="27"/>
    </row>
    <row r="1683" spans="2:8" ht="15" x14ac:dyDescent="0.25">
      <c r="B1683" s="27"/>
      <c r="C1683" s="27"/>
      <c r="D1683" s="27"/>
      <c r="E1683" s="27"/>
      <c r="F1683" s="27"/>
      <c r="G1683" s="27"/>
      <c r="H1683" s="27"/>
    </row>
    <row r="1684" spans="2:8" ht="15" x14ac:dyDescent="0.25">
      <c r="B1684" s="27"/>
      <c r="C1684" s="27"/>
      <c r="D1684" s="27"/>
      <c r="E1684" s="27"/>
      <c r="F1684" s="27"/>
      <c r="G1684" s="27"/>
      <c r="H1684" s="27"/>
    </row>
    <row r="1685" spans="2:8" ht="15" x14ac:dyDescent="0.25">
      <c r="B1685" s="27"/>
      <c r="C1685" s="27"/>
      <c r="D1685" s="27"/>
      <c r="E1685" s="27"/>
      <c r="F1685" s="27"/>
      <c r="G1685" s="27"/>
      <c r="H1685" s="27"/>
    </row>
    <row r="1686" spans="2:8" ht="15" x14ac:dyDescent="0.25">
      <c r="B1686" s="27"/>
      <c r="C1686" s="27"/>
      <c r="D1686" s="27"/>
      <c r="E1686" s="27"/>
      <c r="F1686" s="27"/>
      <c r="G1686" s="27"/>
      <c r="H1686" s="27"/>
    </row>
    <row r="1687" spans="2:8" ht="15" x14ac:dyDescent="0.25">
      <c r="B1687" s="27"/>
      <c r="C1687" s="27"/>
      <c r="D1687" s="27"/>
      <c r="E1687" s="27"/>
      <c r="F1687" s="27"/>
      <c r="G1687" s="27"/>
      <c r="H1687" s="27"/>
    </row>
    <row r="1688" spans="2:8" ht="15" x14ac:dyDescent="0.25">
      <c r="B1688" s="27"/>
      <c r="C1688" s="27"/>
      <c r="D1688" s="27"/>
      <c r="E1688" s="27"/>
      <c r="F1688" s="27"/>
      <c r="G1688" s="27"/>
      <c r="H1688" s="27"/>
    </row>
    <row r="1689" spans="2:8" ht="15" x14ac:dyDescent="0.25">
      <c r="B1689" s="27"/>
      <c r="C1689" s="27"/>
      <c r="D1689" s="27"/>
      <c r="E1689" s="27"/>
      <c r="F1689" s="27"/>
      <c r="G1689" s="27"/>
      <c r="H1689" s="27"/>
    </row>
    <row r="1690" spans="2:8" ht="15" x14ac:dyDescent="0.25">
      <c r="B1690" s="27"/>
      <c r="C1690" s="27"/>
      <c r="D1690" s="27"/>
      <c r="E1690" s="27"/>
      <c r="F1690" s="27"/>
      <c r="G1690" s="27"/>
      <c r="H1690" s="27"/>
    </row>
    <row r="1691" spans="2:8" ht="15" x14ac:dyDescent="0.25">
      <c r="B1691" s="27"/>
      <c r="C1691" s="27"/>
      <c r="D1691" s="27"/>
      <c r="E1691" s="27"/>
      <c r="F1691" s="27"/>
      <c r="G1691" s="27"/>
      <c r="H1691" s="27"/>
    </row>
    <row r="1692" spans="2:8" ht="15" x14ac:dyDescent="0.25">
      <c r="B1692" s="27"/>
      <c r="C1692" s="27"/>
      <c r="D1692" s="27"/>
      <c r="E1692" s="27"/>
      <c r="F1692" s="27"/>
      <c r="G1692" s="27"/>
      <c r="H1692" s="27"/>
    </row>
    <row r="1693" spans="2:8" ht="15" x14ac:dyDescent="0.25">
      <c r="B1693" s="27"/>
      <c r="C1693" s="27"/>
      <c r="D1693" s="27"/>
      <c r="E1693" s="27"/>
      <c r="F1693" s="27"/>
      <c r="G1693" s="27"/>
      <c r="H1693" s="27"/>
    </row>
    <row r="1694" spans="2:8" ht="15" x14ac:dyDescent="0.25">
      <c r="B1694" s="27"/>
      <c r="C1694" s="27"/>
      <c r="D1694" s="27"/>
      <c r="E1694" s="27"/>
      <c r="F1694" s="27"/>
      <c r="G1694" s="27"/>
      <c r="H1694" s="27"/>
    </row>
    <row r="1695" spans="2:8" ht="15" x14ac:dyDescent="0.25">
      <c r="B1695" s="27"/>
      <c r="C1695" s="27"/>
      <c r="D1695" s="27"/>
      <c r="E1695" s="27"/>
      <c r="F1695" s="27"/>
      <c r="G1695" s="27"/>
      <c r="H1695" s="27"/>
    </row>
    <row r="1696" spans="2:8" ht="15" x14ac:dyDescent="0.25">
      <c r="B1696" s="27"/>
      <c r="C1696" s="27"/>
      <c r="D1696" s="27"/>
      <c r="E1696" s="27"/>
      <c r="F1696" s="27"/>
      <c r="G1696" s="27"/>
      <c r="H1696" s="27"/>
    </row>
    <row r="1697" spans="2:8" ht="15" x14ac:dyDescent="0.25">
      <c r="B1697" s="27"/>
      <c r="C1697" s="27"/>
      <c r="D1697" s="27"/>
      <c r="E1697" s="27"/>
      <c r="F1697" s="27"/>
      <c r="G1697" s="27"/>
      <c r="H1697" s="27"/>
    </row>
    <row r="1698" spans="2:8" ht="15" x14ac:dyDescent="0.25">
      <c r="B1698" s="27"/>
      <c r="C1698" s="27"/>
      <c r="D1698" s="27"/>
      <c r="E1698" s="27"/>
      <c r="F1698" s="27"/>
      <c r="G1698" s="27"/>
      <c r="H1698" s="27"/>
    </row>
    <row r="1699" spans="2:8" ht="15" x14ac:dyDescent="0.25">
      <c r="B1699" s="27"/>
      <c r="C1699" s="27"/>
      <c r="D1699" s="27"/>
      <c r="E1699" s="27"/>
      <c r="F1699" s="27"/>
      <c r="G1699" s="27"/>
      <c r="H1699" s="27"/>
    </row>
    <row r="1700" spans="2:8" ht="15" x14ac:dyDescent="0.25">
      <c r="B1700" s="27"/>
      <c r="C1700" s="27"/>
      <c r="D1700" s="27"/>
      <c r="E1700" s="27"/>
      <c r="F1700" s="27"/>
      <c r="G1700" s="27"/>
      <c r="H1700" s="27"/>
    </row>
    <row r="1701" spans="2:8" ht="15" x14ac:dyDescent="0.25">
      <c r="B1701" s="27"/>
      <c r="C1701" s="27"/>
      <c r="D1701" s="27"/>
      <c r="E1701" s="27"/>
      <c r="F1701" s="27"/>
      <c r="G1701" s="27"/>
      <c r="H1701" s="27"/>
    </row>
    <row r="1702" spans="2:8" ht="15" x14ac:dyDescent="0.25">
      <c r="B1702" s="27"/>
      <c r="C1702" s="27"/>
      <c r="D1702" s="27"/>
      <c r="E1702" s="27"/>
      <c r="F1702" s="27"/>
      <c r="G1702" s="27"/>
      <c r="H1702" s="27"/>
    </row>
    <row r="1703" spans="2:8" ht="15" x14ac:dyDescent="0.25">
      <c r="B1703" s="27"/>
      <c r="C1703" s="27"/>
      <c r="D1703" s="27"/>
      <c r="E1703" s="27"/>
      <c r="F1703" s="27"/>
      <c r="G1703" s="27"/>
      <c r="H1703" s="27"/>
    </row>
    <row r="1704" spans="2:8" ht="15" x14ac:dyDescent="0.25">
      <c r="B1704" s="27"/>
      <c r="C1704" s="27"/>
      <c r="D1704" s="27"/>
      <c r="E1704" s="27"/>
      <c r="F1704" s="27"/>
      <c r="G1704" s="27"/>
      <c r="H1704" s="27"/>
    </row>
    <row r="1705" spans="2:8" ht="15" x14ac:dyDescent="0.25">
      <c r="B1705" s="27"/>
      <c r="C1705" s="27"/>
      <c r="D1705" s="27"/>
      <c r="E1705" s="27"/>
      <c r="F1705" s="27"/>
      <c r="G1705" s="27"/>
      <c r="H1705" s="27"/>
    </row>
    <row r="1706" spans="2:8" ht="15" x14ac:dyDescent="0.25">
      <c r="B1706" s="27"/>
      <c r="C1706" s="27"/>
      <c r="D1706" s="27"/>
      <c r="E1706" s="27"/>
      <c r="F1706" s="27"/>
      <c r="G1706" s="27"/>
      <c r="H1706" s="27"/>
    </row>
    <row r="1707" spans="2:8" ht="15" x14ac:dyDescent="0.25">
      <c r="B1707" s="27"/>
      <c r="C1707" s="27"/>
      <c r="D1707" s="27"/>
      <c r="E1707" s="27"/>
      <c r="F1707" s="27"/>
      <c r="G1707" s="27"/>
      <c r="H1707" s="27"/>
    </row>
    <row r="1708" spans="2:8" ht="15" x14ac:dyDescent="0.25">
      <c r="B1708" s="27"/>
      <c r="C1708" s="27"/>
      <c r="D1708" s="27"/>
      <c r="E1708" s="27"/>
      <c r="F1708" s="27"/>
      <c r="G1708" s="27"/>
      <c r="H1708" s="27"/>
    </row>
    <row r="1709" spans="2:8" ht="15" x14ac:dyDescent="0.25">
      <c r="B1709" s="27"/>
      <c r="C1709" s="27"/>
      <c r="D1709" s="27"/>
      <c r="E1709" s="27"/>
      <c r="F1709" s="27"/>
      <c r="G1709" s="27"/>
      <c r="H1709" s="27"/>
    </row>
    <row r="1710" spans="2:8" ht="15" x14ac:dyDescent="0.25">
      <c r="B1710" s="27"/>
      <c r="C1710" s="27"/>
      <c r="D1710" s="27"/>
      <c r="E1710" s="27"/>
      <c r="F1710" s="27"/>
      <c r="G1710" s="27"/>
      <c r="H1710" s="27"/>
    </row>
    <row r="1711" spans="2:8" ht="15" x14ac:dyDescent="0.25">
      <c r="B1711" s="27"/>
      <c r="C1711" s="27"/>
      <c r="D1711" s="27"/>
      <c r="E1711" s="27"/>
      <c r="F1711" s="27"/>
      <c r="G1711" s="27"/>
      <c r="H1711" s="27"/>
    </row>
    <row r="1712" spans="2:8" ht="15" x14ac:dyDescent="0.25">
      <c r="B1712" s="27"/>
      <c r="C1712" s="27"/>
      <c r="D1712" s="27"/>
      <c r="E1712" s="27"/>
      <c r="F1712" s="27"/>
      <c r="G1712" s="27"/>
      <c r="H1712" s="27"/>
    </row>
    <row r="1713" spans="2:8" ht="15" x14ac:dyDescent="0.25">
      <c r="B1713" s="27"/>
      <c r="C1713" s="27"/>
      <c r="D1713" s="27"/>
      <c r="E1713" s="27"/>
      <c r="F1713" s="27"/>
      <c r="G1713" s="27"/>
      <c r="H1713" s="27"/>
    </row>
    <row r="1714" spans="2:8" ht="15" x14ac:dyDescent="0.25">
      <c r="B1714" s="27"/>
      <c r="C1714" s="27"/>
      <c r="D1714" s="27"/>
      <c r="E1714" s="27"/>
      <c r="F1714" s="27"/>
      <c r="G1714" s="27"/>
      <c r="H1714" s="27"/>
    </row>
    <row r="1715" spans="2:8" ht="15" x14ac:dyDescent="0.25">
      <c r="B1715" s="27"/>
      <c r="C1715" s="27"/>
      <c r="D1715" s="27"/>
      <c r="E1715" s="27"/>
      <c r="F1715" s="27"/>
      <c r="G1715" s="27"/>
      <c r="H1715" s="27"/>
    </row>
    <row r="1716" spans="2:8" ht="15" x14ac:dyDescent="0.25">
      <c r="B1716" s="27"/>
      <c r="C1716" s="27"/>
      <c r="D1716" s="27"/>
      <c r="E1716" s="27"/>
      <c r="F1716" s="27"/>
      <c r="G1716" s="27"/>
      <c r="H1716" s="27"/>
    </row>
    <row r="1717" spans="2:8" ht="15" x14ac:dyDescent="0.25">
      <c r="B1717" s="27"/>
      <c r="C1717" s="27"/>
      <c r="D1717" s="27"/>
      <c r="E1717" s="27"/>
      <c r="F1717" s="27"/>
      <c r="G1717" s="27"/>
      <c r="H1717" s="27"/>
    </row>
    <row r="1718" spans="2:8" ht="15" x14ac:dyDescent="0.25">
      <c r="B1718" s="27"/>
      <c r="C1718" s="27"/>
      <c r="D1718" s="27"/>
      <c r="E1718" s="27"/>
      <c r="F1718" s="27"/>
      <c r="G1718" s="27"/>
      <c r="H1718" s="27"/>
    </row>
    <row r="1719" spans="2:8" ht="15" x14ac:dyDescent="0.25">
      <c r="B1719" s="27"/>
      <c r="C1719" s="27"/>
      <c r="D1719" s="27"/>
      <c r="E1719" s="27"/>
      <c r="F1719" s="27"/>
      <c r="G1719" s="27"/>
      <c r="H1719" s="27"/>
    </row>
    <row r="1720" spans="2:8" ht="15" x14ac:dyDescent="0.25">
      <c r="B1720" s="27"/>
      <c r="C1720" s="27"/>
      <c r="D1720" s="27"/>
      <c r="E1720" s="27"/>
      <c r="F1720" s="27"/>
      <c r="G1720" s="27"/>
      <c r="H1720" s="27"/>
    </row>
    <row r="1721" spans="2:8" ht="15" x14ac:dyDescent="0.25">
      <c r="B1721" s="27"/>
      <c r="C1721" s="27"/>
      <c r="D1721" s="27"/>
      <c r="E1721" s="27"/>
      <c r="F1721" s="27"/>
      <c r="G1721" s="27"/>
      <c r="H1721" s="27"/>
    </row>
    <row r="1722" spans="2:8" ht="15" x14ac:dyDescent="0.25">
      <c r="B1722" s="27"/>
      <c r="C1722" s="27"/>
      <c r="D1722" s="27"/>
      <c r="E1722" s="27"/>
      <c r="F1722" s="27"/>
      <c r="G1722" s="27"/>
      <c r="H1722" s="27"/>
    </row>
    <row r="1723" spans="2:8" ht="15" x14ac:dyDescent="0.25">
      <c r="B1723" s="27"/>
      <c r="C1723" s="27"/>
      <c r="D1723" s="27"/>
      <c r="E1723" s="27"/>
      <c r="F1723" s="27"/>
      <c r="G1723" s="27"/>
      <c r="H1723" s="27"/>
    </row>
    <row r="1724" spans="2:8" ht="15" x14ac:dyDescent="0.25">
      <c r="B1724" s="27"/>
      <c r="C1724" s="27"/>
      <c r="D1724" s="27"/>
      <c r="E1724" s="27"/>
      <c r="F1724" s="27"/>
      <c r="G1724" s="27"/>
      <c r="H1724" s="27"/>
    </row>
    <row r="1725" spans="2:8" ht="15" x14ac:dyDescent="0.25">
      <c r="B1725" s="27"/>
      <c r="C1725" s="27"/>
      <c r="D1725" s="27"/>
      <c r="E1725" s="27"/>
      <c r="F1725" s="27"/>
      <c r="G1725" s="27"/>
      <c r="H1725" s="27"/>
    </row>
    <row r="1726" spans="2:8" ht="15" x14ac:dyDescent="0.25">
      <c r="B1726" s="27"/>
      <c r="C1726" s="27"/>
      <c r="D1726" s="27"/>
      <c r="E1726" s="27"/>
      <c r="F1726" s="27"/>
      <c r="G1726" s="27"/>
      <c r="H1726" s="27"/>
    </row>
    <row r="1727" spans="2:8" ht="15" x14ac:dyDescent="0.25">
      <c r="B1727" s="27"/>
      <c r="C1727" s="27"/>
      <c r="D1727" s="27"/>
      <c r="E1727" s="27"/>
      <c r="F1727" s="27"/>
      <c r="G1727" s="27"/>
      <c r="H1727" s="27"/>
    </row>
    <row r="1728" spans="2:8" ht="15" x14ac:dyDescent="0.25">
      <c r="B1728" s="27"/>
      <c r="C1728" s="27"/>
      <c r="D1728" s="27"/>
      <c r="E1728" s="27"/>
      <c r="F1728" s="27"/>
      <c r="G1728" s="27"/>
      <c r="H1728" s="27"/>
    </row>
    <row r="1729" spans="2:8" ht="15" x14ac:dyDescent="0.25">
      <c r="B1729" s="27"/>
      <c r="C1729" s="27"/>
      <c r="D1729" s="27"/>
      <c r="E1729" s="27"/>
      <c r="F1729" s="27"/>
      <c r="G1729" s="27"/>
      <c r="H1729" s="27"/>
    </row>
    <row r="1730" spans="2:8" ht="15" x14ac:dyDescent="0.25">
      <c r="B1730" s="27"/>
      <c r="C1730" s="27"/>
      <c r="D1730" s="27"/>
      <c r="E1730" s="27"/>
      <c r="F1730" s="27"/>
      <c r="G1730" s="27"/>
      <c r="H1730" s="27"/>
    </row>
    <row r="1731" spans="2:8" ht="15" x14ac:dyDescent="0.25">
      <c r="B1731" s="27"/>
      <c r="C1731" s="27"/>
      <c r="D1731" s="27"/>
      <c r="E1731" s="27"/>
      <c r="F1731" s="27"/>
      <c r="G1731" s="27"/>
      <c r="H1731" s="27"/>
    </row>
    <row r="1732" spans="2:8" ht="15" x14ac:dyDescent="0.25">
      <c r="B1732" s="27"/>
      <c r="C1732" s="27"/>
      <c r="D1732" s="27"/>
      <c r="E1732" s="27"/>
      <c r="F1732" s="27"/>
      <c r="G1732" s="27"/>
      <c r="H1732" s="27"/>
    </row>
    <row r="1733" spans="2:8" ht="15" x14ac:dyDescent="0.25">
      <c r="B1733" s="27"/>
      <c r="C1733" s="27"/>
      <c r="D1733" s="27"/>
      <c r="E1733" s="27"/>
      <c r="F1733" s="27"/>
      <c r="G1733" s="27"/>
      <c r="H1733" s="27"/>
    </row>
    <row r="1734" spans="2:8" ht="15" x14ac:dyDescent="0.25">
      <c r="B1734" s="27"/>
      <c r="C1734" s="27"/>
      <c r="D1734" s="27"/>
      <c r="E1734" s="27"/>
      <c r="F1734" s="27"/>
      <c r="G1734" s="27"/>
      <c r="H1734" s="27"/>
    </row>
    <row r="1735" spans="2:8" ht="15" x14ac:dyDescent="0.25">
      <c r="B1735" s="27"/>
      <c r="C1735" s="27"/>
      <c r="D1735" s="27"/>
      <c r="E1735" s="27"/>
      <c r="F1735" s="27"/>
      <c r="G1735" s="27"/>
      <c r="H1735" s="27"/>
    </row>
    <row r="1736" spans="2:8" ht="15" x14ac:dyDescent="0.25">
      <c r="B1736" s="27"/>
      <c r="C1736" s="27"/>
      <c r="D1736" s="27"/>
      <c r="E1736" s="27"/>
      <c r="F1736" s="27"/>
      <c r="G1736" s="27"/>
      <c r="H1736" s="27"/>
    </row>
    <row r="1737" spans="2:8" ht="15" x14ac:dyDescent="0.25">
      <c r="B1737" s="27"/>
      <c r="C1737" s="27"/>
      <c r="D1737" s="27"/>
      <c r="E1737" s="27"/>
      <c r="F1737" s="27"/>
      <c r="G1737" s="27"/>
      <c r="H1737" s="27"/>
    </row>
    <row r="1738" spans="2:8" ht="15" x14ac:dyDescent="0.25">
      <c r="B1738" s="27"/>
      <c r="C1738" s="27"/>
      <c r="D1738" s="27"/>
      <c r="E1738" s="27"/>
      <c r="F1738" s="27"/>
      <c r="G1738" s="27"/>
      <c r="H1738" s="27"/>
    </row>
    <row r="1739" spans="2:8" ht="15" x14ac:dyDescent="0.25">
      <c r="B1739" s="27"/>
      <c r="C1739" s="27"/>
      <c r="D1739" s="27"/>
      <c r="E1739" s="27"/>
      <c r="F1739" s="27"/>
      <c r="G1739" s="27"/>
      <c r="H1739" s="27"/>
    </row>
    <row r="1740" spans="2:8" ht="15" x14ac:dyDescent="0.25">
      <c r="B1740" s="27"/>
      <c r="C1740" s="27"/>
      <c r="D1740" s="27"/>
      <c r="E1740" s="27"/>
      <c r="F1740" s="27"/>
      <c r="G1740" s="27"/>
      <c r="H1740" s="27"/>
    </row>
    <row r="1741" spans="2:8" ht="15" x14ac:dyDescent="0.25">
      <c r="B1741" s="27"/>
      <c r="C1741" s="27"/>
      <c r="D1741" s="27"/>
      <c r="E1741" s="27"/>
      <c r="F1741" s="27"/>
      <c r="G1741" s="27"/>
      <c r="H1741" s="27"/>
    </row>
    <row r="1742" spans="2:8" ht="15" x14ac:dyDescent="0.25">
      <c r="B1742" s="27"/>
      <c r="C1742" s="27"/>
      <c r="D1742" s="27"/>
      <c r="E1742" s="27"/>
      <c r="F1742" s="27"/>
      <c r="G1742" s="27"/>
      <c r="H1742" s="27"/>
    </row>
    <row r="1743" spans="2:8" ht="15" x14ac:dyDescent="0.25">
      <c r="B1743" s="27"/>
      <c r="C1743" s="27"/>
      <c r="D1743" s="27"/>
      <c r="E1743" s="27"/>
      <c r="F1743" s="27"/>
      <c r="G1743" s="27"/>
      <c r="H1743" s="27"/>
    </row>
    <row r="1744" spans="2:8" ht="15" x14ac:dyDescent="0.25">
      <c r="B1744" s="27"/>
      <c r="C1744" s="27"/>
      <c r="D1744" s="27"/>
      <c r="E1744" s="27"/>
      <c r="F1744" s="27"/>
      <c r="G1744" s="27"/>
      <c r="H1744" s="27"/>
    </row>
    <row r="1745" spans="2:8" ht="15" x14ac:dyDescent="0.25">
      <c r="B1745" s="27"/>
      <c r="C1745" s="27"/>
      <c r="D1745" s="27"/>
      <c r="E1745" s="27"/>
      <c r="F1745" s="27"/>
      <c r="G1745" s="27"/>
      <c r="H1745" s="27"/>
    </row>
    <row r="1746" spans="2:8" ht="15" x14ac:dyDescent="0.25">
      <c r="B1746" s="27"/>
      <c r="C1746" s="27"/>
      <c r="D1746" s="27"/>
      <c r="E1746" s="27"/>
      <c r="F1746" s="27"/>
      <c r="G1746" s="27"/>
      <c r="H1746" s="27"/>
    </row>
    <row r="1747" spans="2:8" ht="15" x14ac:dyDescent="0.25">
      <c r="B1747" s="27"/>
      <c r="C1747" s="27"/>
      <c r="D1747" s="27"/>
      <c r="E1747" s="27"/>
      <c r="F1747" s="27"/>
      <c r="G1747" s="27"/>
      <c r="H1747" s="27"/>
    </row>
    <row r="1748" spans="2:8" ht="15" x14ac:dyDescent="0.25">
      <c r="B1748" s="27"/>
      <c r="C1748" s="27"/>
      <c r="D1748" s="27"/>
      <c r="E1748" s="27"/>
      <c r="F1748" s="27"/>
      <c r="G1748" s="27"/>
      <c r="H1748" s="27"/>
    </row>
    <row r="1749" spans="2:8" ht="15" x14ac:dyDescent="0.25">
      <c r="B1749" s="27"/>
      <c r="C1749" s="27"/>
      <c r="D1749" s="27"/>
      <c r="E1749" s="27"/>
      <c r="F1749" s="27"/>
      <c r="G1749" s="27"/>
      <c r="H1749" s="27"/>
    </row>
  </sheetData>
  <hyperlinks>
    <hyperlink ref="C356" r:id="rId1" display="https://www.omim.org/entry/613978" xr:uid="{A607642F-0040-404F-BC91-27D2E6EE6D3C}"/>
    <hyperlink ref="D356" r:id="rId2" display="https://www.omim.org/entry/604131" xr:uid="{ABD1BA48-B919-45FF-B330-ACDEAEC3D043}"/>
    <hyperlink ref="C357" r:id="rId3" display="https://www.omim.org/entry/613978" xr:uid="{2065FEB5-F75A-4F78-9A47-08CB712F4662}"/>
    <hyperlink ref="D357" r:id="rId4" display="https://www.omim.org/entry/604131" xr:uid="{F86A12EC-E722-4C0E-B346-1582D31DE9BB}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 K. Rodiño Janeiro</dc:creator>
  <dc:description/>
  <cp:lastModifiedBy>Laboratorio16</cp:lastModifiedBy>
  <cp:revision>6</cp:revision>
  <dcterms:created xsi:type="dcterms:W3CDTF">2015-06-05T18:19:34Z</dcterms:created>
  <dcterms:modified xsi:type="dcterms:W3CDTF">2026-07-14T08:49:15Z</dcterms:modified>
  <dc:language>es-ES</dc:language>
</cp:coreProperties>
</file>